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0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arrywinkler/Harald/Articles/0 Poverty C tax/"/>
    </mc:Choice>
  </mc:AlternateContent>
  <bookViews>
    <workbookView xWindow="0" yWindow="460" windowWidth="33680" windowHeight="17720" tabRatio="500" activeTab="6"/>
  </bookViews>
  <sheets>
    <sheet name="Tax revenue emiss Fig 2 and 4" sheetId="1" r:id="rId1"/>
    <sheet name="MPA Fig3" sheetId="13" r:id="rId2"/>
    <sheet name="Electrification" sheetId="17" r:id="rId3"/>
    <sheet name="LPG" sheetId="9" r:id="rId4"/>
    <sheet name="Sust housing Fig 5" sheetId="14" r:id="rId5"/>
    <sheet name="Rooftop solar" sheetId="15" r:id="rId6"/>
    <sheet name="Match rev and exp Fig 6" sheetId="3" r:id="rId7"/>
    <sheet name="Table 2 Pov pgm co benefits" sheetId="18" r:id="rId8"/>
    <sheet name="Table 3 quantified benefits" sheetId="19" r:id="rId9"/>
    <sheet name="Table 4 unit pgms" sheetId="22" r:id="rId10"/>
  </sheets>
  <definedNames>
    <definedName name="_Ref478395478" localSheetId="7">'Table 2 Pov pgm co benefits'!$B$1</definedName>
    <definedName name="_Ref478413688" localSheetId="8">'Table 3 quantified benefits'!$A$1</definedName>
    <definedName name="_Ref478414760" localSheetId="9">'Table 4 unit pgms'!$B$1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22" l="1"/>
  <c r="C17" i="1"/>
  <c r="C11" i="1"/>
  <c r="C22" i="1"/>
  <c r="C36" i="1"/>
  <c r="C6" i="3"/>
  <c r="B23" i="17"/>
  <c r="C13" i="3"/>
  <c r="C14" i="3"/>
  <c r="C16" i="3"/>
  <c r="C15" i="3"/>
  <c r="C18" i="3"/>
  <c r="C52" i="3"/>
  <c r="D22" i="22"/>
  <c r="D17" i="1"/>
  <c r="D22" i="1"/>
  <c r="D36" i="1"/>
  <c r="D6" i="3"/>
  <c r="E2" i="3"/>
  <c r="D14" i="3"/>
  <c r="C24" i="14"/>
  <c r="C29" i="14"/>
  <c r="D15" i="3"/>
  <c r="C15" i="15"/>
  <c r="D16" i="3"/>
  <c r="C23" i="17"/>
  <c r="D13" i="3"/>
  <c r="D18" i="3"/>
  <c r="D52" i="3"/>
  <c r="E22" i="22"/>
  <c r="E17" i="1"/>
  <c r="E22" i="1"/>
  <c r="E36" i="1"/>
  <c r="E6" i="3"/>
  <c r="E14" i="3"/>
  <c r="D24" i="14"/>
  <c r="D29" i="14"/>
  <c r="E15" i="3"/>
  <c r="D15" i="15"/>
  <c r="E16" i="3"/>
  <c r="D23" i="17"/>
  <c r="E13" i="3"/>
  <c r="E18" i="3"/>
  <c r="E52" i="3"/>
  <c r="F22" i="22"/>
  <c r="F17" i="1"/>
  <c r="F22" i="1"/>
  <c r="F36" i="1"/>
  <c r="F6" i="3"/>
  <c r="F14" i="3"/>
  <c r="E24" i="14"/>
  <c r="E29" i="14"/>
  <c r="F15" i="3"/>
  <c r="E15" i="15"/>
  <c r="F16" i="3"/>
  <c r="E23" i="17"/>
  <c r="F13" i="3"/>
  <c r="F18" i="3"/>
  <c r="F52" i="3"/>
  <c r="G22" i="22"/>
  <c r="G17" i="1"/>
  <c r="G22" i="1"/>
  <c r="G36" i="1"/>
  <c r="G6" i="3"/>
  <c r="F8" i="17"/>
  <c r="F23" i="17"/>
  <c r="G13" i="3"/>
  <c r="G14" i="3"/>
  <c r="F24" i="14"/>
  <c r="F29" i="14"/>
  <c r="G15" i="3"/>
  <c r="F15" i="15"/>
  <c r="G16" i="3"/>
  <c r="G18" i="3"/>
  <c r="G52" i="3"/>
  <c r="H22" i="22"/>
  <c r="H17" i="1"/>
  <c r="H22" i="1"/>
  <c r="H36" i="1"/>
  <c r="H6" i="3"/>
  <c r="G8" i="17"/>
  <c r="G23" i="17"/>
  <c r="H13" i="3"/>
  <c r="H14" i="3"/>
  <c r="G24" i="14"/>
  <c r="G29" i="14"/>
  <c r="H15" i="3"/>
  <c r="G15" i="15"/>
  <c r="H16" i="3"/>
  <c r="H18" i="3"/>
  <c r="H52" i="3"/>
  <c r="I22" i="22"/>
  <c r="I17" i="1"/>
  <c r="I22" i="1"/>
  <c r="I36" i="1"/>
  <c r="I6" i="3"/>
  <c r="H8" i="17"/>
  <c r="H23" i="17"/>
  <c r="I13" i="3"/>
  <c r="I14" i="3"/>
  <c r="H24" i="14"/>
  <c r="H29" i="14"/>
  <c r="I15" i="3"/>
  <c r="H15" i="15"/>
  <c r="I16" i="3"/>
  <c r="I18" i="3"/>
  <c r="I52" i="3"/>
  <c r="J22" i="22"/>
  <c r="J17" i="1"/>
  <c r="J22" i="1"/>
  <c r="J36" i="1"/>
  <c r="J6" i="3"/>
  <c r="I8" i="17"/>
  <c r="I23" i="17"/>
  <c r="J13" i="3"/>
  <c r="J14" i="3"/>
  <c r="I24" i="14"/>
  <c r="I29" i="14"/>
  <c r="J15" i="3"/>
  <c r="I15" i="15"/>
  <c r="J16" i="3"/>
  <c r="J18" i="3"/>
  <c r="J52" i="3"/>
  <c r="K22" i="22"/>
  <c r="K17" i="1"/>
  <c r="K22" i="1"/>
  <c r="K36" i="1"/>
  <c r="K6" i="3"/>
  <c r="J8" i="17"/>
  <c r="J23" i="17"/>
  <c r="K13" i="3"/>
  <c r="K14" i="3"/>
  <c r="J24" i="14"/>
  <c r="J29" i="14"/>
  <c r="K15" i="3"/>
  <c r="J15" i="15"/>
  <c r="K16" i="3"/>
  <c r="K18" i="3"/>
  <c r="K52" i="3"/>
  <c r="L22" i="22"/>
  <c r="L17" i="1"/>
  <c r="L22" i="1"/>
  <c r="L36" i="1"/>
  <c r="L6" i="3"/>
  <c r="K8" i="17"/>
  <c r="K23" i="17"/>
  <c r="L13" i="3"/>
  <c r="L14" i="3"/>
  <c r="K24" i="14"/>
  <c r="K29" i="14"/>
  <c r="L15" i="3"/>
  <c r="K15" i="15"/>
  <c r="L16" i="3"/>
  <c r="L18" i="3"/>
  <c r="L52" i="3"/>
  <c r="M22" i="22"/>
  <c r="M17" i="1"/>
  <c r="M22" i="1"/>
  <c r="M36" i="1"/>
  <c r="M6" i="3"/>
  <c r="L8" i="17"/>
  <c r="L23" i="17"/>
  <c r="M13" i="3"/>
  <c r="M14" i="3"/>
  <c r="L24" i="14"/>
  <c r="L29" i="14"/>
  <c r="M15" i="3"/>
  <c r="L15" i="15"/>
  <c r="M16" i="3"/>
  <c r="M18" i="3"/>
  <c r="M52" i="3"/>
  <c r="N22" i="22"/>
  <c r="N17" i="1"/>
  <c r="N22" i="1"/>
  <c r="N36" i="1"/>
  <c r="N6" i="3"/>
  <c r="M8" i="17"/>
  <c r="M23" i="17"/>
  <c r="N13" i="3"/>
  <c r="N14" i="3"/>
  <c r="M24" i="14"/>
  <c r="M29" i="14"/>
  <c r="N15" i="3"/>
  <c r="M15" i="15"/>
  <c r="N16" i="3"/>
  <c r="N18" i="3"/>
  <c r="N52" i="3"/>
  <c r="O22" i="22"/>
  <c r="O17" i="1"/>
  <c r="O22" i="1"/>
  <c r="O36" i="1"/>
  <c r="O6" i="3"/>
  <c r="N8" i="17"/>
  <c r="N23" i="17"/>
  <c r="O13" i="3"/>
  <c r="O14" i="3"/>
  <c r="N24" i="14"/>
  <c r="N29" i="14"/>
  <c r="O15" i="3"/>
  <c r="N15" i="15"/>
  <c r="O16" i="3"/>
  <c r="O18" i="3"/>
  <c r="O52" i="3"/>
  <c r="P22" i="22"/>
  <c r="P17" i="1"/>
  <c r="P22" i="1"/>
  <c r="P36" i="1"/>
  <c r="P6" i="3"/>
  <c r="O8" i="17"/>
  <c r="O23" i="17"/>
  <c r="P13" i="3"/>
  <c r="P14" i="3"/>
  <c r="O24" i="14"/>
  <c r="O29" i="14"/>
  <c r="P15" i="3"/>
  <c r="O15" i="15"/>
  <c r="P16" i="3"/>
  <c r="P18" i="3"/>
  <c r="P52" i="3"/>
  <c r="Q22" i="22"/>
  <c r="Q17" i="1"/>
  <c r="Q22" i="1"/>
  <c r="Q36" i="1"/>
  <c r="Q6" i="3"/>
  <c r="Q13" i="3"/>
  <c r="Q14" i="3"/>
  <c r="P24" i="14"/>
  <c r="P29" i="14"/>
  <c r="Q15" i="3"/>
  <c r="P15" i="15"/>
  <c r="Q16" i="3"/>
  <c r="Q18" i="3"/>
  <c r="Q52" i="3"/>
  <c r="R22" i="22"/>
  <c r="C23" i="22"/>
  <c r="C18" i="1"/>
  <c r="C13" i="1"/>
  <c r="C24" i="1"/>
  <c r="C39" i="1"/>
  <c r="C7" i="3"/>
  <c r="C53" i="3"/>
  <c r="D23" i="22"/>
  <c r="D18" i="1"/>
  <c r="D24" i="1"/>
  <c r="D39" i="1"/>
  <c r="D7" i="3"/>
  <c r="D53" i="3"/>
  <c r="E23" i="22"/>
  <c r="E18" i="1"/>
  <c r="E24" i="1"/>
  <c r="E39" i="1"/>
  <c r="E7" i="3"/>
  <c r="E53" i="3"/>
  <c r="F23" i="22"/>
  <c r="F18" i="1"/>
  <c r="F24" i="1"/>
  <c r="F39" i="1"/>
  <c r="F7" i="3"/>
  <c r="F53" i="3"/>
  <c r="G23" i="22"/>
  <c r="G18" i="1"/>
  <c r="G24" i="1"/>
  <c r="G39" i="1"/>
  <c r="G7" i="3"/>
  <c r="G53" i="3"/>
  <c r="H23" i="22"/>
  <c r="H18" i="1"/>
  <c r="H24" i="1"/>
  <c r="H39" i="1"/>
  <c r="H7" i="3"/>
  <c r="H53" i="3"/>
  <c r="I23" i="22"/>
  <c r="I18" i="1"/>
  <c r="I24" i="1"/>
  <c r="I39" i="1"/>
  <c r="I7" i="3"/>
  <c r="I53" i="3"/>
  <c r="J23" i="22"/>
  <c r="J18" i="1"/>
  <c r="J24" i="1"/>
  <c r="J39" i="1"/>
  <c r="J7" i="3"/>
  <c r="J53" i="3"/>
  <c r="K23" i="22"/>
  <c r="K18" i="1"/>
  <c r="K24" i="1"/>
  <c r="K39" i="1"/>
  <c r="K7" i="3"/>
  <c r="K53" i="3"/>
  <c r="L23" i="22"/>
  <c r="L18" i="1"/>
  <c r="L24" i="1"/>
  <c r="L39" i="1"/>
  <c r="L7" i="3"/>
  <c r="L53" i="3"/>
  <c r="M23" i="22"/>
  <c r="M18" i="1"/>
  <c r="M24" i="1"/>
  <c r="M39" i="1"/>
  <c r="M7" i="3"/>
  <c r="M53" i="3"/>
  <c r="N23" i="22"/>
  <c r="N18" i="1"/>
  <c r="N24" i="1"/>
  <c r="N39" i="1"/>
  <c r="N7" i="3"/>
  <c r="N53" i="3"/>
  <c r="O23" i="22"/>
  <c r="O18" i="1"/>
  <c r="O24" i="1"/>
  <c r="O39" i="1"/>
  <c r="O7" i="3"/>
  <c r="O53" i="3"/>
  <c r="P23" i="22"/>
  <c r="P18" i="1"/>
  <c r="P24" i="1"/>
  <c r="P39" i="1"/>
  <c r="P7" i="3"/>
  <c r="P53" i="3"/>
  <c r="Q23" i="22"/>
  <c r="Q18" i="1"/>
  <c r="Q24" i="1"/>
  <c r="Q39" i="1"/>
  <c r="Q7" i="3"/>
  <c r="Q53" i="3"/>
  <c r="R23" i="22"/>
  <c r="C24" i="22"/>
  <c r="C12" i="1"/>
  <c r="C23" i="1"/>
  <c r="C40" i="1"/>
  <c r="C8" i="3"/>
  <c r="C54" i="3"/>
  <c r="D24" i="22"/>
  <c r="D23" i="1"/>
  <c r="D40" i="1"/>
  <c r="D8" i="3"/>
  <c r="D54" i="3"/>
  <c r="E24" i="22"/>
  <c r="E23" i="1"/>
  <c r="E40" i="1"/>
  <c r="E8" i="3"/>
  <c r="E54" i="3"/>
  <c r="F24" i="22"/>
  <c r="F23" i="1"/>
  <c r="F40" i="1"/>
  <c r="F8" i="3"/>
  <c r="F54" i="3"/>
  <c r="G24" i="22"/>
  <c r="G23" i="1"/>
  <c r="G40" i="1"/>
  <c r="G8" i="3"/>
  <c r="G54" i="3"/>
  <c r="H24" i="22"/>
  <c r="H23" i="1"/>
  <c r="H40" i="1"/>
  <c r="H8" i="3"/>
  <c r="H54" i="3"/>
  <c r="I24" i="22"/>
  <c r="I23" i="1"/>
  <c r="I40" i="1"/>
  <c r="I8" i="3"/>
  <c r="I54" i="3"/>
  <c r="J24" i="22"/>
  <c r="J23" i="1"/>
  <c r="J40" i="1"/>
  <c r="J8" i="3"/>
  <c r="J54" i="3"/>
  <c r="K24" i="22"/>
  <c r="K23" i="1"/>
  <c r="K40" i="1"/>
  <c r="K8" i="3"/>
  <c r="K54" i="3"/>
  <c r="L24" i="22"/>
  <c r="L23" i="1"/>
  <c r="L40" i="1"/>
  <c r="L8" i="3"/>
  <c r="L54" i="3"/>
  <c r="M24" i="22"/>
  <c r="M23" i="1"/>
  <c r="M40" i="1"/>
  <c r="M8" i="3"/>
  <c r="M54" i="3"/>
  <c r="N24" i="22"/>
  <c r="N23" i="1"/>
  <c r="N40" i="1"/>
  <c r="N8" i="3"/>
  <c r="N54" i="3"/>
  <c r="O24" i="22"/>
  <c r="O23" i="1"/>
  <c r="O40" i="1"/>
  <c r="O8" i="3"/>
  <c r="O54" i="3"/>
  <c r="P24" i="22"/>
  <c r="P23" i="1"/>
  <c r="P40" i="1"/>
  <c r="P8" i="3"/>
  <c r="P54" i="3"/>
  <c r="Q24" i="22"/>
  <c r="Q23" i="1"/>
  <c r="Q40" i="1"/>
  <c r="Q8" i="3"/>
  <c r="Q54" i="3"/>
  <c r="R24" i="22"/>
  <c r="C25" i="22"/>
  <c r="C41" i="1"/>
  <c r="C9" i="3"/>
  <c r="C55" i="3"/>
  <c r="D25" i="22"/>
  <c r="D41" i="1"/>
  <c r="D9" i="3"/>
  <c r="D55" i="3"/>
  <c r="E25" i="22"/>
  <c r="E41" i="1"/>
  <c r="E9" i="3"/>
  <c r="E55" i="3"/>
  <c r="F25" i="22"/>
  <c r="F41" i="1"/>
  <c r="F9" i="3"/>
  <c r="F55" i="3"/>
  <c r="G25" i="22"/>
  <c r="G41" i="1"/>
  <c r="G9" i="3"/>
  <c r="G55" i="3"/>
  <c r="H25" i="22"/>
  <c r="H41" i="1"/>
  <c r="H9" i="3"/>
  <c r="H55" i="3"/>
  <c r="I25" i="22"/>
  <c r="I41" i="1"/>
  <c r="I9" i="3"/>
  <c r="I55" i="3"/>
  <c r="J25" i="22"/>
  <c r="J41" i="1"/>
  <c r="J9" i="3"/>
  <c r="J55" i="3"/>
  <c r="K25" i="22"/>
  <c r="K41" i="1"/>
  <c r="K9" i="3"/>
  <c r="K55" i="3"/>
  <c r="L25" i="22"/>
  <c r="L41" i="1"/>
  <c r="L9" i="3"/>
  <c r="L55" i="3"/>
  <c r="M25" i="22"/>
  <c r="M41" i="1"/>
  <c r="M9" i="3"/>
  <c r="M55" i="3"/>
  <c r="N25" i="22"/>
  <c r="N41" i="1"/>
  <c r="N9" i="3"/>
  <c r="N55" i="3"/>
  <c r="O25" i="22"/>
  <c r="O41" i="1"/>
  <c r="O9" i="3"/>
  <c r="O55" i="3"/>
  <c r="P25" i="22"/>
  <c r="P41" i="1"/>
  <c r="P9" i="3"/>
  <c r="P55" i="3"/>
  <c r="Q25" i="22"/>
  <c r="Q41" i="1"/>
  <c r="Q9" i="3"/>
  <c r="Q55" i="3"/>
  <c r="R25" i="22"/>
  <c r="D21" i="22"/>
  <c r="E21" i="22"/>
  <c r="F21" i="22"/>
  <c r="G21" i="22"/>
  <c r="H21" i="22"/>
  <c r="I21" i="22"/>
  <c r="J21" i="22"/>
  <c r="K21" i="22"/>
  <c r="L21" i="22"/>
  <c r="M21" i="22"/>
  <c r="N21" i="22"/>
  <c r="O21" i="22"/>
  <c r="P21" i="22"/>
  <c r="Q21" i="22"/>
  <c r="R21" i="22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J45" i="3"/>
  <c r="AJ44" i="3"/>
  <c r="AJ43" i="3"/>
  <c r="T38" i="3"/>
  <c r="G36" i="3"/>
  <c r="C38" i="3"/>
  <c r="C16" i="19"/>
  <c r="O16" i="19"/>
  <c r="X38" i="3"/>
  <c r="G38" i="3"/>
  <c r="D16" i="19"/>
  <c r="P16" i="19"/>
  <c r="AC38" i="3"/>
  <c r="L38" i="3"/>
  <c r="E16" i="19"/>
  <c r="Q16" i="19"/>
  <c r="AH38" i="3"/>
  <c r="Q38" i="3"/>
  <c r="F16" i="19"/>
  <c r="R16" i="19"/>
  <c r="T37" i="3"/>
  <c r="C37" i="3"/>
  <c r="C15" i="19"/>
  <c r="O15" i="19"/>
  <c r="X37" i="3"/>
  <c r="G37" i="3"/>
  <c r="D15" i="19"/>
  <c r="P15" i="19"/>
  <c r="AC37" i="3"/>
  <c r="L37" i="3"/>
  <c r="E15" i="19"/>
  <c r="Q15" i="19"/>
  <c r="AH37" i="3"/>
  <c r="Q37" i="3"/>
  <c r="F15" i="19"/>
  <c r="R15" i="19"/>
  <c r="T39" i="3"/>
  <c r="C39" i="3"/>
  <c r="C17" i="19"/>
  <c r="O17" i="19"/>
  <c r="X39" i="3"/>
  <c r="G39" i="3"/>
  <c r="D17" i="19"/>
  <c r="P17" i="19"/>
  <c r="AC39" i="3"/>
  <c r="L39" i="3"/>
  <c r="E17" i="19"/>
  <c r="Q17" i="19"/>
  <c r="AE39" i="3"/>
  <c r="AF39" i="3"/>
  <c r="AG39" i="3"/>
  <c r="AH39" i="3"/>
  <c r="Q39" i="3"/>
  <c r="F17" i="19"/>
  <c r="R17" i="19"/>
  <c r="T40" i="3"/>
  <c r="C40" i="3"/>
  <c r="C18" i="19"/>
  <c r="O18" i="19"/>
  <c r="X40" i="3"/>
  <c r="G40" i="3"/>
  <c r="D18" i="19"/>
  <c r="P18" i="19"/>
  <c r="AC40" i="3"/>
  <c r="L40" i="3"/>
  <c r="E18" i="19"/>
  <c r="Q18" i="19"/>
  <c r="AH40" i="3"/>
  <c r="Q40" i="3"/>
  <c r="F18" i="19"/>
  <c r="R18" i="19"/>
  <c r="T15" i="19"/>
  <c r="G42" i="3"/>
  <c r="C43" i="3"/>
  <c r="C20" i="19"/>
  <c r="O20" i="19"/>
  <c r="G43" i="3"/>
  <c r="D20" i="19"/>
  <c r="P20" i="19"/>
  <c r="L43" i="3"/>
  <c r="E20" i="19"/>
  <c r="Q20" i="19"/>
  <c r="Q43" i="3"/>
  <c r="F20" i="19"/>
  <c r="R20" i="19"/>
  <c r="C44" i="3"/>
  <c r="C21" i="19"/>
  <c r="O21" i="19"/>
  <c r="G44" i="3"/>
  <c r="D21" i="19"/>
  <c r="P21" i="19"/>
  <c r="L44" i="3"/>
  <c r="E21" i="19"/>
  <c r="Q21" i="19"/>
  <c r="Q44" i="3"/>
  <c r="F21" i="19"/>
  <c r="R21" i="19"/>
  <c r="C45" i="3"/>
  <c r="C22" i="19"/>
  <c r="O22" i="19"/>
  <c r="G45" i="3"/>
  <c r="D22" i="19"/>
  <c r="P22" i="19"/>
  <c r="L45" i="3"/>
  <c r="E22" i="19"/>
  <c r="Q22" i="19"/>
  <c r="Q45" i="3"/>
  <c r="F22" i="19"/>
  <c r="R22" i="19"/>
  <c r="C46" i="3"/>
  <c r="C23" i="19"/>
  <c r="O23" i="19"/>
  <c r="G46" i="3"/>
  <c r="D23" i="19"/>
  <c r="P23" i="19"/>
  <c r="L46" i="3"/>
  <c r="E23" i="19"/>
  <c r="Q23" i="19"/>
  <c r="Q46" i="3"/>
  <c r="F23" i="19"/>
  <c r="R23" i="19"/>
  <c r="T22" i="19"/>
  <c r="T21" i="19"/>
  <c r="T20" i="19"/>
  <c r="T17" i="19"/>
  <c r="T16" i="19"/>
  <c r="T31" i="3"/>
  <c r="G30" i="3"/>
  <c r="C31" i="3"/>
  <c r="C10" i="19"/>
  <c r="O10" i="19"/>
  <c r="X31" i="3"/>
  <c r="G31" i="3"/>
  <c r="D10" i="19"/>
  <c r="P10" i="19"/>
  <c r="AC31" i="3"/>
  <c r="L31" i="3"/>
  <c r="E10" i="19"/>
  <c r="Q10" i="19"/>
  <c r="AH31" i="3"/>
  <c r="Q31" i="3"/>
  <c r="F10" i="19"/>
  <c r="R10" i="19"/>
  <c r="T32" i="3"/>
  <c r="C32" i="3"/>
  <c r="C11" i="19"/>
  <c r="O11" i="19"/>
  <c r="X32" i="3"/>
  <c r="G32" i="3"/>
  <c r="D11" i="19"/>
  <c r="P11" i="19"/>
  <c r="AC32" i="3"/>
  <c r="L32" i="3"/>
  <c r="E11" i="19"/>
  <c r="Q11" i="19"/>
  <c r="AH32" i="3"/>
  <c r="Q32" i="3"/>
  <c r="F11" i="19"/>
  <c r="R11" i="19"/>
  <c r="T33" i="3"/>
  <c r="C33" i="3"/>
  <c r="C12" i="19"/>
  <c r="O12" i="19"/>
  <c r="X33" i="3"/>
  <c r="G33" i="3"/>
  <c r="D12" i="19"/>
  <c r="P12" i="19"/>
  <c r="AC33" i="3"/>
  <c r="L33" i="3"/>
  <c r="E12" i="19"/>
  <c r="Q12" i="19"/>
  <c r="AE33" i="3"/>
  <c r="AF33" i="3"/>
  <c r="AG33" i="3"/>
  <c r="AH33" i="3"/>
  <c r="Q33" i="3"/>
  <c r="F12" i="19"/>
  <c r="R12" i="19"/>
  <c r="T34" i="3"/>
  <c r="C34" i="3"/>
  <c r="C13" i="19"/>
  <c r="O13" i="19"/>
  <c r="X34" i="3"/>
  <c r="G34" i="3"/>
  <c r="D13" i="19"/>
  <c r="P13" i="19"/>
  <c r="AC34" i="3"/>
  <c r="L34" i="3"/>
  <c r="E13" i="19"/>
  <c r="Q13" i="19"/>
  <c r="AH34" i="3"/>
  <c r="Q34" i="3"/>
  <c r="F13" i="19"/>
  <c r="R13" i="19"/>
  <c r="T12" i="19"/>
  <c r="T11" i="19"/>
  <c r="T10" i="19"/>
  <c r="B18" i="17"/>
  <c r="C18" i="17"/>
  <c r="C22" i="17"/>
  <c r="D18" i="17"/>
  <c r="D22" i="17"/>
  <c r="E18" i="17"/>
  <c r="E22" i="17"/>
  <c r="F18" i="17"/>
  <c r="F22" i="17"/>
  <c r="G18" i="17"/>
  <c r="G22" i="17"/>
  <c r="H18" i="17"/>
  <c r="H22" i="17"/>
  <c r="I18" i="17"/>
  <c r="I22" i="17"/>
  <c r="J18" i="17"/>
  <c r="J22" i="17"/>
  <c r="K18" i="17"/>
  <c r="K22" i="17"/>
  <c r="L18" i="17"/>
  <c r="L22" i="17"/>
  <c r="M18" i="17"/>
  <c r="M22" i="17"/>
  <c r="N18" i="17"/>
  <c r="N22" i="17"/>
  <c r="O18" i="17"/>
  <c r="O22" i="17"/>
  <c r="P8" i="17"/>
  <c r="P18" i="17"/>
  <c r="P22" i="17"/>
  <c r="B22" i="17"/>
  <c r="B26" i="17"/>
  <c r="G22" i="3"/>
  <c r="T28" i="3"/>
  <c r="T24" i="3"/>
  <c r="C24" i="3"/>
  <c r="C5" i="19"/>
  <c r="O5" i="19"/>
  <c r="X24" i="3"/>
  <c r="G24" i="3"/>
  <c r="D5" i="19"/>
  <c r="P5" i="19"/>
  <c r="AC24" i="3"/>
  <c r="L24" i="3"/>
  <c r="E5" i="19"/>
  <c r="Q5" i="19"/>
  <c r="AH24" i="3"/>
  <c r="Q24" i="3"/>
  <c r="F5" i="19"/>
  <c r="R5" i="19"/>
  <c r="T25" i="3"/>
  <c r="C25" i="3"/>
  <c r="C6" i="19"/>
  <c r="O6" i="19"/>
  <c r="X25" i="3"/>
  <c r="G25" i="3"/>
  <c r="D6" i="19"/>
  <c r="P6" i="19"/>
  <c r="AC25" i="3"/>
  <c r="L25" i="3"/>
  <c r="E6" i="19"/>
  <c r="Q6" i="19"/>
  <c r="AH25" i="3"/>
  <c r="Q25" i="3"/>
  <c r="F6" i="19"/>
  <c r="R6" i="19"/>
  <c r="T26" i="3"/>
  <c r="C26" i="3"/>
  <c r="C7" i="19"/>
  <c r="O7" i="19"/>
  <c r="X26" i="3"/>
  <c r="G26" i="3"/>
  <c r="D7" i="19"/>
  <c r="P7" i="19"/>
  <c r="AC26" i="3"/>
  <c r="L26" i="3"/>
  <c r="E7" i="19"/>
  <c r="Q7" i="19"/>
  <c r="AE26" i="3"/>
  <c r="AF26" i="3"/>
  <c r="AG26" i="3"/>
  <c r="AH26" i="3"/>
  <c r="Q26" i="3"/>
  <c r="F7" i="19"/>
  <c r="R7" i="19"/>
  <c r="T27" i="3"/>
  <c r="C27" i="3"/>
  <c r="C8" i="19"/>
  <c r="O8" i="19"/>
  <c r="X27" i="3"/>
  <c r="G27" i="3"/>
  <c r="D8" i="19"/>
  <c r="P8" i="19"/>
  <c r="AC27" i="3"/>
  <c r="L27" i="3"/>
  <c r="E8" i="19"/>
  <c r="Q8" i="19"/>
  <c r="AH27" i="3"/>
  <c r="Q27" i="3"/>
  <c r="F8" i="19"/>
  <c r="R8" i="19"/>
  <c r="T7" i="19"/>
  <c r="T6" i="19"/>
  <c r="T5" i="19"/>
  <c r="L23" i="19"/>
  <c r="K23" i="19"/>
  <c r="J23" i="19"/>
  <c r="I23" i="19"/>
  <c r="L22" i="19"/>
  <c r="K22" i="19"/>
  <c r="J22" i="19"/>
  <c r="I22" i="19"/>
  <c r="L21" i="19"/>
  <c r="K21" i="19"/>
  <c r="J21" i="19"/>
  <c r="I21" i="19"/>
  <c r="L20" i="19"/>
  <c r="K20" i="19"/>
  <c r="J20" i="19"/>
  <c r="I20" i="19"/>
  <c r="L18" i="19"/>
  <c r="K18" i="19"/>
  <c r="J18" i="19"/>
  <c r="I18" i="19"/>
  <c r="L17" i="19"/>
  <c r="K17" i="19"/>
  <c r="J17" i="19"/>
  <c r="I17" i="19"/>
  <c r="L16" i="19"/>
  <c r="K16" i="19"/>
  <c r="J16" i="19"/>
  <c r="I16" i="19"/>
  <c r="L15" i="19"/>
  <c r="K15" i="19"/>
  <c r="J15" i="19"/>
  <c r="I15" i="19"/>
  <c r="L13" i="19"/>
  <c r="K13" i="19"/>
  <c r="J13" i="19"/>
  <c r="I13" i="19"/>
  <c r="L12" i="19"/>
  <c r="K12" i="19"/>
  <c r="J12" i="19"/>
  <c r="I12" i="19"/>
  <c r="L11" i="19"/>
  <c r="K11" i="19"/>
  <c r="J11" i="19"/>
  <c r="I11" i="19"/>
  <c r="L10" i="19"/>
  <c r="K10" i="19"/>
  <c r="J10" i="19"/>
  <c r="I10" i="19"/>
  <c r="L8" i="19"/>
  <c r="K8" i="19"/>
  <c r="J8" i="19"/>
  <c r="I8" i="19"/>
  <c r="L7" i="19"/>
  <c r="K7" i="19"/>
  <c r="J7" i="19"/>
  <c r="I7" i="19"/>
  <c r="L6" i="19"/>
  <c r="K6" i="19"/>
  <c r="J6" i="19"/>
  <c r="I6" i="19"/>
  <c r="L5" i="19"/>
  <c r="K5" i="19"/>
  <c r="J5" i="19"/>
  <c r="I5" i="19"/>
  <c r="J25" i="19"/>
  <c r="K25" i="19"/>
  <c r="L25" i="19"/>
  <c r="J26" i="19"/>
  <c r="K26" i="19"/>
  <c r="L26" i="19"/>
  <c r="I26" i="19"/>
  <c r="I25" i="19"/>
  <c r="O9" i="19"/>
  <c r="Q9" i="19"/>
  <c r="R9" i="19"/>
  <c r="O14" i="19"/>
  <c r="Q14" i="19"/>
  <c r="F14" i="19"/>
  <c r="R14" i="19"/>
  <c r="Q19" i="19"/>
  <c r="F19" i="19"/>
  <c r="R19" i="19"/>
  <c r="P46" i="3"/>
  <c r="O46" i="3"/>
  <c r="N46" i="3"/>
  <c r="M46" i="3"/>
  <c r="K46" i="3"/>
  <c r="J46" i="3"/>
  <c r="I46" i="3"/>
  <c r="H46" i="3"/>
  <c r="F46" i="3"/>
  <c r="E46" i="3"/>
  <c r="D46" i="3"/>
  <c r="P45" i="3"/>
  <c r="O45" i="3"/>
  <c r="N45" i="3"/>
  <c r="M45" i="3"/>
  <c r="K45" i="3"/>
  <c r="J45" i="3"/>
  <c r="I45" i="3"/>
  <c r="H45" i="3"/>
  <c r="F45" i="3"/>
  <c r="E45" i="3"/>
  <c r="D45" i="3"/>
  <c r="P44" i="3"/>
  <c r="O44" i="3"/>
  <c r="N44" i="3"/>
  <c r="M44" i="3"/>
  <c r="K44" i="3"/>
  <c r="J44" i="3"/>
  <c r="I44" i="3"/>
  <c r="H44" i="3"/>
  <c r="F44" i="3"/>
  <c r="E44" i="3"/>
  <c r="D44" i="3"/>
  <c r="P43" i="3"/>
  <c r="O43" i="3"/>
  <c r="N43" i="3"/>
  <c r="M43" i="3"/>
  <c r="K43" i="3"/>
  <c r="J43" i="3"/>
  <c r="I43" i="3"/>
  <c r="H43" i="3"/>
  <c r="F43" i="3"/>
  <c r="E43" i="3"/>
  <c r="D43" i="3"/>
  <c r="AG40" i="3"/>
  <c r="P40" i="3"/>
  <c r="AF40" i="3"/>
  <c r="O40" i="3"/>
  <c r="AE40" i="3"/>
  <c r="N40" i="3"/>
  <c r="AD40" i="3"/>
  <c r="M40" i="3"/>
  <c r="AB40" i="3"/>
  <c r="K40" i="3"/>
  <c r="AA40" i="3"/>
  <c r="J40" i="3"/>
  <c r="Z40" i="3"/>
  <c r="I40" i="3"/>
  <c r="Y40" i="3"/>
  <c r="H40" i="3"/>
  <c r="W40" i="3"/>
  <c r="F40" i="3"/>
  <c r="V40" i="3"/>
  <c r="E40" i="3"/>
  <c r="U40" i="3"/>
  <c r="D40" i="3"/>
  <c r="P39" i="3"/>
  <c r="O39" i="3"/>
  <c r="N39" i="3"/>
  <c r="AD39" i="3"/>
  <c r="M39" i="3"/>
  <c r="AB39" i="3"/>
  <c r="K39" i="3"/>
  <c r="AA39" i="3"/>
  <c r="J39" i="3"/>
  <c r="Z39" i="3"/>
  <c r="I39" i="3"/>
  <c r="Y39" i="3"/>
  <c r="H39" i="3"/>
  <c r="W39" i="3"/>
  <c r="F39" i="3"/>
  <c r="V39" i="3"/>
  <c r="E39" i="3"/>
  <c r="U39" i="3"/>
  <c r="D39" i="3"/>
  <c r="AG38" i="3"/>
  <c r="P38" i="3"/>
  <c r="AF38" i="3"/>
  <c r="O38" i="3"/>
  <c r="AE38" i="3"/>
  <c r="N38" i="3"/>
  <c r="AD38" i="3"/>
  <c r="M38" i="3"/>
  <c r="AB38" i="3"/>
  <c r="K38" i="3"/>
  <c r="AA38" i="3"/>
  <c r="J38" i="3"/>
  <c r="Z38" i="3"/>
  <c r="I38" i="3"/>
  <c r="Y38" i="3"/>
  <c r="H38" i="3"/>
  <c r="W38" i="3"/>
  <c r="F38" i="3"/>
  <c r="V38" i="3"/>
  <c r="E38" i="3"/>
  <c r="U38" i="3"/>
  <c r="D38" i="3"/>
  <c r="AG37" i="3"/>
  <c r="P37" i="3"/>
  <c r="AF37" i="3"/>
  <c r="O37" i="3"/>
  <c r="AE37" i="3"/>
  <c r="N37" i="3"/>
  <c r="AD37" i="3"/>
  <c r="M37" i="3"/>
  <c r="AB37" i="3"/>
  <c r="K37" i="3"/>
  <c r="AA37" i="3"/>
  <c r="J37" i="3"/>
  <c r="Z37" i="3"/>
  <c r="I37" i="3"/>
  <c r="Y37" i="3"/>
  <c r="H37" i="3"/>
  <c r="W37" i="3"/>
  <c r="F37" i="3"/>
  <c r="V37" i="3"/>
  <c r="E37" i="3"/>
  <c r="U37" i="3"/>
  <c r="D37" i="3"/>
  <c r="AG34" i="3"/>
  <c r="P34" i="3"/>
  <c r="AF34" i="3"/>
  <c r="O34" i="3"/>
  <c r="AE34" i="3"/>
  <c r="N34" i="3"/>
  <c r="AD34" i="3"/>
  <c r="M34" i="3"/>
  <c r="AB34" i="3"/>
  <c r="K34" i="3"/>
  <c r="AA34" i="3"/>
  <c r="J34" i="3"/>
  <c r="Z34" i="3"/>
  <c r="I34" i="3"/>
  <c r="Y34" i="3"/>
  <c r="H34" i="3"/>
  <c r="W34" i="3"/>
  <c r="F34" i="3"/>
  <c r="V34" i="3"/>
  <c r="E34" i="3"/>
  <c r="U34" i="3"/>
  <c r="D34" i="3"/>
  <c r="P33" i="3"/>
  <c r="O33" i="3"/>
  <c r="N33" i="3"/>
  <c r="AD33" i="3"/>
  <c r="M33" i="3"/>
  <c r="AB33" i="3"/>
  <c r="K33" i="3"/>
  <c r="AA33" i="3"/>
  <c r="J33" i="3"/>
  <c r="Z33" i="3"/>
  <c r="I33" i="3"/>
  <c r="Y33" i="3"/>
  <c r="H33" i="3"/>
  <c r="W33" i="3"/>
  <c r="F33" i="3"/>
  <c r="V33" i="3"/>
  <c r="E33" i="3"/>
  <c r="U33" i="3"/>
  <c r="D33" i="3"/>
  <c r="AG32" i="3"/>
  <c r="P32" i="3"/>
  <c r="AF32" i="3"/>
  <c r="O32" i="3"/>
  <c r="AE32" i="3"/>
  <c r="N32" i="3"/>
  <c r="AD32" i="3"/>
  <c r="M32" i="3"/>
  <c r="AB32" i="3"/>
  <c r="K32" i="3"/>
  <c r="AA32" i="3"/>
  <c r="J32" i="3"/>
  <c r="Z32" i="3"/>
  <c r="I32" i="3"/>
  <c r="Y32" i="3"/>
  <c r="H32" i="3"/>
  <c r="W32" i="3"/>
  <c r="F32" i="3"/>
  <c r="V32" i="3"/>
  <c r="E32" i="3"/>
  <c r="U32" i="3"/>
  <c r="D32" i="3"/>
  <c r="AG31" i="3"/>
  <c r="P31" i="3"/>
  <c r="AF31" i="3"/>
  <c r="O31" i="3"/>
  <c r="AE31" i="3"/>
  <c r="N31" i="3"/>
  <c r="AD31" i="3"/>
  <c r="M31" i="3"/>
  <c r="AB31" i="3"/>
  <c r="K31" i="3"/>
  <c r="AA31" i="3"/>
  <c r="J31" i="3"/>
  <c r="Z31" i="3"/>
  <c r="I31" i="3"/>
  <c r="Y31" i="3"/>
  <c r="H31" i="3"/>
  <c r="W31" i="3"/>
  <c r="F31" i="3"/>
  <c r="V31" i="3"/>
  <c r="E31" i="3"/>
  <c r="U31" i="3"/>
  <c r="D31" i="3"/>
  <c r="AG27" i="3"/>
  <c r="P27" i="3"/>
  <c r="AF27" i="3"/>
  <c r="O27" i="3"/>
  <c r="AE27" i="3"/>
  <c r="N27" i="3"/>
  <c r="AD27" i="3"/>
  <c r="M27" i="3"/>
  <c r="AB27" i="3"/>
  <c r="K27" i="3"/>
  <c r="AA27" i="3"/>
  <c r="J27" i="3"/>
  <c r="Z27" i="3"/>
  <c r="I27" i="3"/>
  <c r="Y27" i="3"/>
  <c r="H27" i="3"/>
  <c r="W27" i="3"/>
  <c r="F27" i="3"/>
  <c r="V27" i="3"/>
  <c r="E27" i="3"/>
  <c r="U27" i="3"/>
  <c r="D27" i="3"/>
  <c r="P26" i="3"/>
  <c r="O26" i="3"/>
  <c r="N26" i="3"/>
  <c r="AD26" i="3"/>
  <c r="M26" i="3"/>
  <c r="AB26" i="3"/>
  <c r="K26" i="3"/>
  <c r="AA26" i="3"/>
  <c r="J26" i="3"/>
  <c r="Z26" i="3"/>
  <c r="I26" i="3"/>
  <c r="Y26" i="3"/>
  <c r="H26" i="3"/>
  <c r="W26" i="3"/>
  <c r="F26" i="3"/>
  <c r="V26" i="3"/>
  <c r="E26" i="3"/>
  <c r="U26" i="3"/>
  <c r="D26" i="3"/>
  <c r="AG25" i="3"/>
  <c r="P25" i="3"/>
  <c r="AF25" i="3"/>
  <c r="O25" i="3"/>
  <c r="AE25" i="3"/>
  <c r="N25" i="3"/>
  <c r="AD25" i="3"/>
  <c r="M25" i="3"/>
  <c r="AB25" i="3"/>
  <c r="K25" i="3"/>
  <c r="AA25" i="3"/>
  <c r="J25" i="3"/>
  <c r="Z25" i="3"/>
  <c r="I25" i="3"/>
  <c r="Y25" i="3"/>
  <c r="H25" i="3"/>
  <c r="W25" i="3"/>
  <c r="F25" i="3"/>
  <c r="V25" i="3"/>
  <c r="E25" i="3"/>
  <c r="U25" i="3"/>
  <c r="D25" i="3"/>
  <c r="AG24" i="3"/>
  <c r="P24" i="3"/>
  <c r="AF24" i="3"/>
  <c r="O24" i="3"/>
  <c r="AE24" i="3"/>
  <c r="N24" i="3"/>
  <c r="AD24" i="3"/>
  <c r="M24" i="3"/>
  <c r="AB24" i="3"/>
  <c r="K24" i="3"/>
  <c r="AA24" i="3"/>
  <c r="J24" i="3"/>
  <c r="Z24" i="3"/>
  <c r="I24" i="3"/>
  <c r="Y24" i="3"/>
  <c r="H24" i="3"/>
  <c r="W24" i="3"/>
  <c r="F24" i="3"/>
  <c r="V24" i="3"/>
  <c r="E24" i="3"/>
  <c r="U24" i="3"/>
  <c r="D24" i="3"/>
  <c r="B23" i="19"/>
  <c r="B13" i="19"/>
  <c r="B14" i="19"/>
  <c r="B15" i="19"/>
  <c r="B16" i="19"/>
  <c r="B17" i="19"/>
  <c r="B18" i="19"/>
  <c r="B20" i="19"/>
  <c r="B21" i="19"/>
  <c r="B22" i="19"/>
  <c r="B5" i="19"/>
  <c r="B6" i="19"/>
  <c r="B7" i="19"/>
  <c r="B8" i="19"/>
  <c r="B10" i="19"/>
  <c r="B11" i="19"/>
  <c r="B12" i="19"/>
  <c r="M42" i="3"/>
  <c r="M30" i="3"/>
  <c r="M22" i="3"/>
  <c r="M36" i="3"/>
  <c r="D68" i="1"/>
  <c r="D69" i="1"/>
  <c r="D72" i="1"/>
  <c r="E12" i="1"/>
  <c r="F12" i="1"/>
  <c r="D71" i="1"/>
  <c r="E11" i="1"/>
  <c r="F11" i="1"/>
  <c r="D70" i="1"/>
  <c r="C8" i="9"/>
  <c r="C19" i="9"/>
  <c r="D8" i="9"/>
  <c r="D19" i="9"/>
  <c r="E8" i="9"/>
  <c r="E19" i="9"/>
  <c r="F8" i="9"/>
  <c r="F19" i="9"/>
  <c r="G8" i="9"/>
  <c r="G19" i="9"/>
  <c r="H8" i="9"/>
  <c r="H19" i="9"/>
  <c r="I8" i="9"/>
  <c r="I19" i="9"/>
  <c r="J8" i="9"/>
  <c r="J19" i="9"/>
  <c r="K8" i="9"/>
  <c r="K19" i="9"/>
  <c r="L8" i="9"/>
  <c r="L19" i="9"/>
  <c r="M8" i="9"/>
  <c r="M19" i="9"/>
  <c r="N8" i="9"/>
  <c r="N19" i="9"/>
  <c r="O8" i="9"/>
  <c r="O19" i="9"/>
  <c r="P8" i="9"/>
  <c r="P19" i="9"/>
  <c r="B15" i="15"/>
  <c r="B24" i="14"/>
  <c r="B5" i="14"/>
  <c r="B15" i="14"/>
  <c r="B6" i="14"/>
  <c r="B8" i="14"/>
  <c r="B10" i="14"/>
  <c r="C15" i="14"/>
  <c r="C27" i="14"/>
  <c r="D15" i="14"/>
  <c r="D27" i="14"/>
  <c r="E15" i="14"/>
  <c r="E27" i="14"/>
  <c r="F15" i="14"/>
  <c r="F27" i="14"/>
  <c r="G15" i="14"/>
  <c r="G27" i="14"/>
  <c r="H15" i="14"/>
  <c r="H27" i="14"/>
  <c r="I15" i="14"/>
  <c r="I27" i="14"/>
  <c r="J15" i="14"/>
  <c r="J27" i="14"/>
  <c r="K15" i="14"/>
  <c r="K27" i="14"/>
  <c r="L15" i="14"/>
  <c r="L27" i="14"/>
  <c r="M15" i="14"/>
  <c r="M27" i="14"/>
  <c r="N15" i="14"/>
  <c r="N27" i="14"/>
  <c r="O15" i="14"/>
  <c r="O27" i="14"/>
  <c r="P15" i="14"/>
  <c r="P27" i="14"/>
  <c r="B16" i="14"/>
  <c r="C16" i="14"/>
  <c r="C28" i="14"/>
  <c r="D16" i="14"/>
  <c r="D28" i="14"/>
  <c r="E16" i="14"/>
  <c r="E28" i="14"/>
  <c r="F16" i="14"/>
  <c r="F28" i="14"/>
  <c r="G16" i="14"/>
  <c r="G28" i="14"/>
  <c r="H16" i="14"/>
  <c r="H28" i="14"/>
  <c r="I16" i="14"/>
  <c r="I28" i="14"/>
  <c r="J16" i="14"/>
  <c r="J28" i="14"/>
  <c r="K16" i="14"/>
  <c r="K28" i="14"/>
  <c r="L16" i="14"/>
  <c r="L28" i="14"/>
  <c r="M16" i="14"/>
  <c r="M28" i="14"/>
  <c r="N16" i="14"/>
  <c r="N28" i="14"/>
  <c r="O16" i="14"/>
  <c r="O28" i="14"/>
  <c r="P16" i="14"/>
  <c r="P28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B28" i="14"/>
  <c r="B29" i="14"/>
  <c r="B27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B19" i="9"/>
  <c r="B14" i="9"/>
  <c r="B3" i="9"/>
  <c r="B4" i="9"/>
  <c r="B8" i="9"/>
  <c r="B15" i="9"/>
  <c r="E3" i="9"/>
  <c r="E4" i="9"/>
  <c r="D3" i="9"/>
  <c r="D4" i="9"/>
  <c r="B16" i="9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P23" i="17"/>
  <c r="F6" i="17"/>
  <c r="G6" i="17"/>
  <c r="H6" i="17"/>
  <c r="I6" i="17"/>
  <c r="J6" i="17"/>
  <c r="K6" i="17"/>
  <c r="L6" i="17"/>
  <c r="M6" i="17"/>
  <c r="N6" i="17"/>
  <c r="O6" i="17"/>
  <c r="P6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C21" i="17"/>
  <c r="B21" i="17"/>
  <c r="S6" i="17"/>
  <c r="B11" i="17"/>
  <c r="B10" i="17"/>
  <c r="T6" i="17"/>
  <c r="U6" i="17"/>
  <c r="U7" i="17"/>
  <c r="J30" i="3"/>
  <c r="B15" i="3"/>
  <c r="D35" i="1"/>
  <c r="D5" i="3"/>
  <c r="D12" i="3"/>
  <c r="E35" i="1"/>
  <c r="E5" i="3"/>
  <c r="E12" i="3"/>
  <c r="F35" i="1"/>
  <c r="F5" i="3"/>
  <c r="F12" i="3"/>
  <c r="G35" i="1"/>
  <c r="G5" i="3"/>
  <c r="G12" i="3"/>
  <c r="H35" i="1"/>
  <c r="H5" i="3"/>
  <c r="H12" i="3"/>
  <c r="I35" i="1"/>
  <c r="I5" i="3"/>
  <c r="I12" i="3"/>
  <c r="J35" i="1"/>
  <c r="J5" i="3"/>
  <c r="J12" i="3"/>
  <c r="K35" i="1"/>
  <c r="K5" i="3"/>
  <c r="K12" i="3"/>
  <c r="L35" i="1"/>
  <c r="L5" i="3"/>
  <c r="L12" i="3"/>
  <c r="M35" i="1"/>
  <c r="M5" i="3"/>
  <c r="M12" i="3"/>
  <c r="N35" i="1"/>
  <c r="N5" i="3"/>
  <c r="N12" i="3"/>
  <c r="O35" i="1"/>
  <c r="O5" i="3"/>
  <c r="O12" i="3"/>
  <c r="P35" i="1"/>
  <c r="P5" i="3"/>
  <c r="P12" i="3"/>
  <c r="Q35" i="1"/>
  <c r="Q5" i="3"/>
  <c r="Q12" i="3"/>
  <c r="C35" i="1"/>
  <c r="C5" i="3"/>
  <c r="C12" i="3"/>
  <c r="C6" i="15"/>
  <c r="B6" i="15"/>
  <c r="B14" i="3"/>
  <c r="B16" i="3"/>
  <c r="C8" i="15"/>
  <c r="C10" i="15"/>
  <c r="C11" i="15"/>
  <c r="B13" i="3"/>
  <c r="B7" i="3"/>
  <c r="B8" i="3"/>
  <c r="B9" i="3"/>
  <c r="B6" i="3"/>
  <c r="B8" i="15"/>
  <c r="B10" i="15"/>
  <c r="B11" i="15"/>
  <c r="Q15" i="14"/>
  <c r="R15" i="14"/>
  <c r="S15" i="14"/>
  <c r="T15" i="14"/>
  <c r="U15" i="14"/>
  <c r="V15" i="14"/>
  <c r="W15" i="14"/>
  <c r="X15" i="14"/>
  <c r="Y15" i="14"/>
  <c r="Z15" i="14"/>
  <c r="C6" i="13"/>
  <c r="H6" i="13"/>
  <c r="D6" i="13"/>
  <c r="D11" i="13"/>
  <c r="E6" i="13"/>
  <c r="E11" i="13"/>
  <c r="F6" i="13"/>
  <c r="F11" i="13"/>
  <c r="G6" i="13"/>
  <c r="G11" i="13"/>
  <c r="H11" i="13"/>
  <c r="M6" i="13"/>
  <c r="I6" i="13"/>
  <c r="I11" i="13"/>
  <c r="J6" i="13"/>
  <c r="J11" i="13"/>
  <c r="K6" i="13"/>
  <c r="K11" i="13"/>
  <c r="L6" i="13"/>
  <c r="L11" i="13"/>
  <c r="M11" i="13"/>
  <c r="R6" i="13"/>
  <c r="N6" i="13"/>
  <c r="N11" i="13"/>
  <c r="O6" i="13"/>
  <c r="O11" i="13"/>
  <c r="P6" i="13"/>
  <c r="P11" i="13"/>
  <c r="Q6" i="13"/>
  <c r="Q11" i="13"/>
  <c r="R11" i="13"/>
  <c r="W6" i="13"/>
  <c r="S6" i="13"/>
  <c r="S11" i="13"/>
  <c r="T6" i="13"/>
  <c r="T11" i="13"/>
  <c r="U6" i="13"/>
  <c r="U11" i="13"/>
  <c r="V6" i="13"/>
  <c r="V11" i="13"/>
  <c r="W11" i="13"/>
  <c r="C7" i="13"/>
  <c r="H7" i="13"/>
  <c r="D7" i="13"/>
  <c r="D12" i="13"/>
  <c r="E7" i="13"/>
  <c r="E12" i="13"/>
  <c r="F7" i="13"/>
  <c r="F12" i="13"/>
  <c r="G7" i="13"/>
  <c r="G12" i="13"/>
  <c r="H12" i="13"/>
  <c r="M7" i="13"/>
  <c r="I7" i="13"/>
  <c r="I12" i="13"/>
  <c r="J7" i="13"/>
  <c r="J12" i="13"/>
  <c r="K7" i="13"/>
  <c r="K12" i="13"/>
  <c r="L7" i="13"/>
  <c r="L12" i="13"/>
  <c r="M12" i="13"/>
  <c r="R7" i="13"/>
  <c r="N7" i="13"/>
  <c r="N12" i="13"/>
  <c r="O7" i="13"/>
  <c r="O12" i="13"/>
  <c r="P7" i="13"/>
  <c r="P12" i="13"/>
  <c r="Q7" i="13"/>
  <c r="Q12" i="13"/>
  <c r="R12" i="13"/>
  <c r="W7" i="13"/>
  <c r="S7" i="13"/>
  <c r="S12" i="13"/>
  <c r="T7" i="13"/>
  <c r="T12" i="13"/>
  <c r="U7" i="13"/>
  <c r="U12" i="13"/>
  <c r="V7" i="13"/>
  <c r="V12" i="13"/>
  <c r="W12" i="13"/>
  <c r="C8" i="13"/>
  <c r="H8" i="13"/>
  <c r="D8" i="13"/>
  <c r="D13" i="13"/>
  <c r="E8" i="13"/>
  <c r="E13" i="13"/>
  <c r="F8" i="13"/>
  <c r="F13" i="13"/>
  <c r="G8" i="13"/>
  <c r="G13" i="13"/>
  <c r="H13" i="13"/>
  <c r="M8" i="13"/>
  <c r="I8" i="13"/>
  <c r="I13" i="13"/>
  <c r="J8" i="13"/>
  <c r="J13" i="13"/>
  <c r="K8" i="13"/>
  <c r="K13" i="13"/>
  <c r="L8" i="13"/>
  <c r="L13" i="13"/>
  <c r="M13" i="13"/>
  <c r="R8" i="13"/>
  <c r="N8" i="13"/>
  <c r="N13" i="13"/>
  <c r="O8" i="13"/>
  <c r="O13" i="13"/>
  <c r="P8" i="13"/>
  <c r="P13" i="13"/>
  <c r="Q8" i="13"/>
  <c r="Q13" i="13"/>
  <c r="R13" i="13"/>
  <c r="W8" i="13"/>
  <c r="S8" i="13"/>
  <c r="S13" i="13"/>
  <c r="T8" i="13"/>
  <c r="T13" i="13"/>
  <c r="U8" i="13"/>
  <c r="U13" i="13"/>
  <c r="V8" i="13"/>
  <c r="V13" i="13"/>
  <c r="W13" i="13"/>
  <c r="B13" i="13"/>
  <c r="C13" i="13"/>
  <c r="C12" i="13"/>
  <c r="B12" i="13"/>
  <c r="C11" i="13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C38" i="1"/>
  <c r="C37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C16" i="1"/>
  <c r="B17" i="1"/>
  <c r="B18" i="1"/>
  <c r="E13" i="1"/>
  <c r="D4" i="22" a="1"/>
  <c r="D4" i="22"/>
  <c r="E4" i="22"/>
  <c r="F4" i="22"/>
  <c r="G4" i="22"/>
  <c r="D5" i="22"/>
  <c r="E5" i="22"/>
  <c r="F5" i="22"/>
  <c r="G5" i="22"/>
  <c r="D6" i="22"/>
  <c r="E6" i="22"/>
  <c r="F6" i="22"/>
  <c r="G6" i="22"/>
  <c r="D7" i="22"/>
  <c r="E7" i="22"/>
  <c r="F7" i="22"/>
  <c r="G7" i="22"/>
  <c r="D8" i="22"/>
  <c r="E8" i="22"/>
  <c r="F8" i="22"/>
  <c r="G8" i="22"/>
  <c r="D9" i="22"/>
  <c r="E9" i="22"/>
  <c r="F9" i="22"/>
  <c r="G9" i="22"/>
  <c r="D10" i="22"/>
  <c r="E10" i="22"/>
  <c r="F10" i="22"/>
  <c r="G10" i="22"/>
  <c r="D11" i="22"/>
  <c r="E11" i="22"/>
  <c r="F11" i="22"/>
  <c r="G11" i="22"/>
  <c r="D12" i="22"/>
  <c r="E12" i="22"/>
  <c r="F12" i="22"/>
  <c r="G12" i="22"/>
  <c r="D13" i="22"/>
  <c r="E13" i="22"/>
  <c r="F13" i="22"/>
  <c r="G13" i="22"/>
  <c r="D14" i="22"/>
  <c r="E14" i="22"/>
  <c r="F14" i="22"/>
  <c r="G14" i="22"/>
  <c r="D15" i="22"/>
  <c r="E15" i="22"/>
  <c r="F15" i="22"/>
  <c r="G15" i="22"/>
  <c r="D16" i="22"/>
  <c r="E16" i="22"/>
  <c r="F16" i="22"/>
  <c r="G16" i="22"/>
  <c r="D17" i="22"/>
  <c r="E17" i="22"/>
  <c r="F17" i="22"/>
  <c r="G17" i="22"/>
  <c r="D18" i="22"/>
  <c r="E18" i="22"/>
  <c r="F18" i="22"/>
  <c r="G18" i="22"/>
</calcChain>
</file>

<file path=xl/sharedStrings.xml><?xml version="1.0" encoding="utf-8"?>
<sst xmlns="http://schemas.openxmlformats.org/spreadsheetml/2006/main" count="440" uniqueCount="277">
  <si>
    <t>Match calculated revenue and expenditure</t>
  </si>
  <si>
    <t xml:space="preserve">National Treasury 2013. Carbon tax policy paper: Reducing greenhouse gas emissions and facilitating the transition to a green economy. Policy paper for public comment, May 2013.  Pretoria, Republic of South Africa. http://www.info.gov.za/view/DownloadFileAction?id=189311 </t>
  </si>
  <si>
    <t>Electrification</t>
  </si>
  <si>
    <t>Cents per</t>
  </si>
  <si>
    <t>Kilogram</t>
  </si>
  <si>
    <t>1A</t>
  </si>
  <si>
    <t>2A</t>
  </si>
  <si>
    <t>3A</t>
  </si>
  <si>
    <t>4A</t>
  </si>
  <si>
    <t>5A</t>
  </si>
  <si>
    <t>6A</t>
  </si>
  <si>
    <t>7A</t>
  </si>
  <si>
    <t>8A</t>
  </si>
  <si>
    <t>9A</t>
  </si>
  <si>
    <t>10A</t>
  </si>
  <si>
    <t>11A</t>
  </si>
  <si>
    <t>13A</t>
  </si>
  <si>
    <t>15A</t>
  </si>
  <si>
    <t>17A</t>
  </si>
  <si>
    <t>19A</t>
  </si>
  <si>
    <t>57A</t>
  </si>
  <si>
    <t>69A</t>
  </si>
  <si>
    <t>3B</t>
  </si>
  <si>
    <t>5B</t>
  </si>
  <si>
    <t>6B</t>
  </si>
  <si>
    <t>7B</t>
  </si>
  <si>
    <t>8B</t>
  </si>
  <si>
    <t>9B</t>
  </si>
  <si>
    <t>10B</t>
  </si>
  <si>
    <t>12B</t>
  </si>
  <si>
    <t>14B</t>
  </si>
  <si>
    <t>5C</t>
  </si>
  <si>
    <t>6C</t>
  </si>
  <si>
    <t>7C</t>
  </si>
  <si>
    <t>8C</t>
  </si>
  <si>
    <t>9C</t>
  </si>
  <si>
    <t>10C</t>
  </si>
  <si>
    <t>11C</t>
  </si>
  <si>
    <t>12C</t>
  </si>
  <si>
    <t>13C</t>
  </si>
  <si>
    <t>14C</t>
  </si>
  <si>
    <t>15C</t>
  </si>
  <si>
    <t>16C</t>
  </si>
  <si>
    <t>17C</t>
  </si>
  <si>
    <t>57C</t>
  </si>
  <si>
    <t>58C</t>
  </si>
  <si>
    <t>60C</t>
  </si>
  <si>
    <t>61C</t>
  </si>
  <si>
    <t>62C</t>
  </si>
  <si>
    <t>63C</t>
  </si>
  <si>
    <t>64C</t>
  </si>
  <si>
    <t>67C</t>
  </si>
  <si>
    <t>31J</t>
  </si>
  <si>
    <t>32J</t>
  </si>
  <si>
    <t>33J</t>
  </si>
  <si>
    <t>34J</t>
  </si>
  <si>
    <t>35J</t>
  </si>
  <si>
    <t>36J</t>
  </si>
  <si>
    <t>37J</t>
  </si>
  <si>
    <t>c / kg</t>
  </si>
  <si>
    <t>R / kg</t>
  </si>
  <si>
    <t>kg /HH / month</t>
  </si>
  <si>
    <t>HH</t>
  </si>
  <si>
    <t>mth/ yr</t>
  </si>
  <si>
    <t>kg / yr</t>
  </si>
  <si>
    <t>R / yr</t>
  </si>
  <si>
    <t>R bn/ yr</t>
  </si>
  <si>
    <t>taxable emissions in FY 2016/17</t>
  </si>
  <si>
    <t>Marginal tax rate</t>
  </si>
  <si>
    <t>Tax free threshold assumed</t>
  </si>
  <si>
    <t>Effective tax rate</t>
  </si>
  <si>
    <t>% of total revenue</t>
  </si>
  <si>
    <t>High</t>
  </si>
  <si>
    <t>Low</t>
  </si>
  <si>
    <t>2016-2020</t>
  </si>
  <si>
    <t>2021-2030</t>
  </si>
  <si>
    <t xml:space="preserve">COMPARISON TO TOTAL TAX REVENUE </t>
  </si>
  <si>
    <t>KEY PARAMETERS</t>
  </si>
  <si>
    <t>Mt CO2e</t>
  </si>
  <si>
    <t>Tax policy paper</t>
  </si>
  <si>
    <t xml:space="preserve">% increase </t>
  </si>
  <si>
    <t>R / t CO2e</t>
  </si>
  <si>
    <t>MRP (NT 2015), CPI+2, own assumption CPI = 6%</t>
  </si>
  <si>
    <t>TAX REVENUE IN FY 2016/17</t>
  </si>
  <si>
    <t>R bn revenue/ yr, calculated</t>
  </si>
  <si>
    <t>R bn revenue / yr, rounded (replicate MRP)</t>
  </si>
  <si>
    <t>With Additional Measures</t>
  </si>
  <si>
    <t>With Existing Measures</t>
  </si>
  <si>
    <t>TAX RATE INCREASES</t>
  </si>
  <si>
    <t>EMISSION PROJECTIONS IN MPA (MITIGATION POTENTIAL ANALYSIS, WEM AND WAM, MT CO2E)</t>
  </si>
  <si>
    <t>10% in first period, then CPI+2</t>
  </si>
  <si>
    <t>SCENARIOS</t>
  </si>
  <si>
    <t>Emissions projection</t>
  </si>
  <si>
    <t>Tax rate</t>
  </si>
  <si>
    <t>WEM-Hi</t>
  </si>
  <si>
    <t>WEM-Lo</t>
  </si>
  <si>
    <t>WAM-Hi</t>
  </si>
  <si>
    <t>WAM-Lo</t>
  </si>
  <si>
    <t>CARBON TAX REVENUES IN 4 SCENARIOS</t>
  </si>
  <si>
    <t>R billion / year</t>
  </si>
  <si>
    <t>WAM-Med</t>
  </si>
  <si>
    <t>WEM-Med</t>
  </si>
  <si>
    <t>4 selected</t>
  </si>
  <si>
    <t>4 extreme</t>
  </si>
  <si>
    <t xml:space="preserve">Emissions keep growing, but higher tax rate imposed - not credible? </t>
  </si>
  <si>
    <t>Emissions keep growing, as low tax rate imposed</t>
  </si>
  <si>
    <t>Emissions decline, with high tax rate</t>
  </si>
  <si>
    <t>6 scenarios</t>
  </si>
  <si>
    <t>Emissions decline, with low tax rate - not credible</t>
  </si>
  <si>
    <t>Emissions keep growing, medium tax rate</t>
  </si>
  <si>
    <t>Emissions decline, medium tax rate</t>
  </si>
  <si>
    <t>Medium</t>
  </si>
  <si>
    <t>coverage</t>
  </si>
  <si>
    <t>2017 budget review: total revenue collected for 2015/16 is 1 076 234.3 R million</t>
  </si>
  <si>
    <t>billion</t>
  </si>
  <si>
    <t>2015/16</t>
  </si>
  <si>
    <t>2016/17</t>
  </si>
  <si>
    <t xml:space="preserve">assume </t>
  </si>
  <si>
    <t>higher</t>
  </si>
  <si>
    <t>Incremental cost</t>
  </si>
  <si>
    <t>Backlog</t>
  </si>
  <si>
    <t>Assumed build rate</t>
  </si>
  <si>
    <t>years</t>
  </si>
  <si>
    <t>units</t>
  </si>
  <si>
    <t>optimistic</t>
  </si>
  <si>
    <t>Additional costs</t>
  </si>
  <si>
    <t xml:space="preserve">per unit </t>
  </si>
  <si>
    <t>R bn / year</t>
  </si>
  <si>
    <t>Sustainable housing</t>
  </si>
  <si>
    <t>Free basic energy (LPG)</t>
  </si>
  <si>
    <t>housing units backlog</t>
  </si>
  <si>
    <t>added to backlog per year</t>
  </si>
  <si>
    <t>Backlog at historical</t>
  </si>
  <si>
    <t>Backlog at optimistic build</t>
  </si>
  <si>
    <t>subsidy</t>
  </si>
  <si>
    <t>households installing per year</t>
  </si>
  <si>
    <t>for 5 kW p system, half subsidised (middle class)</t>
  </si>
  <si>
    <t>Rooftop solar home system</t>
  </si>
  <si>
    <t>R billion per year</t>
  </si>
  <si>
    <t>Main quantified benefit</t>
  </si>
  <si>
    <t>R5.6 billion has been appropriated by 2015/16 financial year on the electrification programme,to delivering 260 000 connections utilising both grid and non-grid technologies.</t>
  </si>
  <si>
    <t>2016 budget speech, Energy Minister</t>
  </si>
  <si>
    <t xml:space="preserve">INEP is by far the largest portion, at R 5.6 billion in 2015, of the energy budget of R7.5 billion in 2015. </t>
  </si>
  <si>
    <t>Hi Harald – current costs are around R20-22 000/kWp installed, all in (grid-tied system).  We did a 4kWp on our building for under R20k/kWp about a year ago, and since then prices are pretty much the same (bit up, then bit down).</t>
  </si>
  <si>
    <t>Mark Borchers, pers comm, 20 march 2017</t>
  </si>
  <si>
    <t>For 1.5 kWp, for poor household, fully subsidised</t>
  </si>
  <si>
    <t xml:space="preserve">Electrification </t>
  </si>
  <si>
    <t>units: number of programmes for that amount of revenue (intermediate result)</t>
  </si>
  <si>
    <t>units: number of poverty reduction benfits (specific to each programme)</t>
  </si>
  <si>
    <t>connections per year</t>
  </si>
  <si>
    <t>households</t>
  </si>
  <si>
    <t xml:space="preserve">receiving </t>
  </si>
  <si>
    <t>kg LPG / HH / month</t>
  </si>
  <si>
    <t>houses</t>
  </si>
  <si>
    <t>with passive solar, EE, SWH</t>
  </si>
  <si>
    <t>built per year (at historical rates)</t>
  </si>
  <si>
    <t xml:space="preserve">with fully subsidised rooftop solar </t>
  </si>
  <si>
    <t>BY REVENUE SCENARIO,  SPENT ON MIX OF PROGRAMMES  (ALL FOUR)</t>
  </si>
  <si>
    <t xml:space="preserve">CARBON TAX REVENUES AND EXPENDITURE ON POVERTY REDUCTION PROGRAMMES </t>
  </si>
  <si>
    <t xml:space="preserve">Carbon tax revenues </t>
  </si>
  <si>
    <t>Expenditure by programme</t>
  </si>
  <si>
    <t>BY REVENUE SCENARIO, IF ALL SPENT ON ONE PROGRAMME</t>
  </si>
  <si>
    <t>Total: all four programmes</t>
  </si>
  <si>
    <t>units: available revenue to fund all programmes - no physical units, as these differ by programme)</t>
  </si>
  <si>
    <t>Increases assumed at CPI+2 (same as tax revenue from 2020, but lower than in first five years, higher than just CPI)</t>
  </si>
  <si>
    <t>reference value</t>
  </si>
  <si>
    <t xml:space="preserve"> systems per year</t>
  </si>
  <si>
    <t>less than 1 (full funding of all four pgorammes)</t>
  </si>
  <si>
    <t>between 1 and 2 times the funding of all four programmes</t>
  </si>
  <si>
    <t>twice or more than the full funding of all four programmes</t>
  </si>
  <si>
    <t>difference relates to carbon price more than mitigation efforts (as assumed)</t>
  </si>
  <si>
    <t>urban</t>
  </si>
  <si>
    <t>rural</t>
  </si>
  <si>
    <t>average</t>
  </si>
  <si>
    <t>2016/17 FY</t>
  </si>
  <si>
    <t>Excel exttrapolation</t>
  </si>
  <si>
    <t>average rate</t>
  </si>
  <si>
    <t>avaerage 2016-2030</t>
  </si>
  <si>
    <t>National Treasury 2017. Budget review.  Pretoria. http://www.treasury.gov.za/documents/national%20budget/2017/review/FullBR.pdf</t>
  </si>
  <si>
    <t>2016 connections</t>
  </si>
  <si>
    <t>Calc groth rate</t>
  </si>
  <si>
    <t>average calculated</t>
  </si>
  <si>
    <t>MTEF average growth rategiven in NT 2017</t>
  </si>
  <si>
    <t>Connections</t>
  </si>
  <si>
    <t>R bn</t>
  </si>
  <si>
    <t>CPI+2</t>
  </si>
  <si>
    <t>USE THIS&lt; consistent with other prgorammes</t>
  </si>
  <si>
    <t>reference (w/out carbon revenue)</t>
  </si>
  <si>
    <t>2017/18</t>
  </si>
  <si>
    <t>Sources</t>
  </si>
  <si>
    <t>NT 2017</t>
  </si>
  <si>
    <t>DoE 2016</t>
  </si>
  <si>
    <t xml:space="preserve"> Department of Energy 2016. Suite of supply policy guidelines for the Integrated National Electrification Program</t>
  </si>
  <si>
    <t>DOE 2016</t>
  </si>
  <si>
    <t>Reference value</t>
  </si>
  <si>
    <t xml:space="preserve">ELECTRIFICATION </t>
  </si>
  <si>
    <t xml:space="preserve">Expenditure - historial and projected </t>
  </si>
  <si>
    <t xml:space="preserve">Subsidy per connection </t>
  </si>
  <si>
    <t xml:space="preserve">Calculated connections (wihout carbon revenue) and total expenditure </t>
  </si>
  <si>
    <t>DoE (Department of Energy) 2016. Schedule: Maximum retail price of liquefied petroleum gas. Government Gazette No 39965.  Pretoria, DoE. http://www.gov.za/sites/www.gov.za/files/39965_rg10594_gon497.pdf</t>
  </si>
  <si>
    <t>Source</t>
  </si>
  <si>
    <t>LPG prices</t>
  </si>
  <si>
    <t>Average</t>
  </si>
  <si>
    <t xml:space="preserve">Min </t>
  </si>
  <si>
    <t>Max</t>
  </si>
  <si>
    <t>assume 5 kg LPG cylinder per household per month</t>
  </si>
  <si>
    <t>for 1 million households</t>
  </si>
  <si>
    <t>Price (R / kg)</t>
  </si>
  <si>
    <t xml:space="preserve">Programme expenditure </t>
  </si>
  <si>
    <t>Expenditure (R bn / year)</t>
  </si>
  <si>
    <t>Dobson, B. 2015 Energy &amp; thermal efficiency in government subsidised housing in South Africa. MAPS Research Paper - implementation case study. (Cape Town, 2015). http://mapsprogramme.org/wp-</t>
  </si>
  <si>
    <t>Africa Check 2017</t>
  </si>
  <si>
    <t xml:space="preserve">Africa Check 2017. The housing situation in South Africa. Factsheet, online resource.  https://africacheck.org/factsheets/factsheet-the-housing-situation-in-south-africa/ accessed 2017  </t>
  </si>
  <si>
    <t>Dobson 2015</t>
  </si>
  <si>
    <t>Africa Check</t>
  </si>
  <si>
    <t>Backlog and build rate</t>
  </si>
  <si>
    <t>calculated from historical</t>
  </si>
  <si>
    <t xml:space="preserve"> </t>
  </si>
  <si>
    <t>Backlog with build but also growing</t>
  </si>
  <si>
    <t>Backlog pessimistic</t>
  </si>
  <si>
    <t>EXTENDED, to see when backlog might be wiped out</t>
  </si>
  <si>
    <t>low</t>
  </si>
  <si>
    <t>high</t>
  </si>
  <si>
    <t xml:space="preserve">average </t>
  </si>
  <si>
    <t>With optimistic build rate</t>
  </si>
  <si>
    <t>With pessimistic build rate</t>
  </si>
  <si>
    <t>With historical build rate</t>
  </si>
  <si>
    <t xml:space="preserve">Sources: </t>
  </si>
  <si>
    <t>Borchers pers comm 2017</t>
  </si>
  <si>
    <t xml:space="preserve">SAAEA 2017. Renewable energy blog - rooftop solar. Online http://www.saaea.org/news/category/rooftop%20pv. South African Alternative Energy Association.  accessed 2017 27 March 2017,  </t>
  </si>
  <si>
    <t>SAAEA 2017</t>
  </si>
  <si>
    <t>Rooftop solar revenue required</t>
  </si>
  <si>
    <t>Connections of households to electricity grid</t>
  </si>
  <si>
    <t>Unit programme for calculations</t>
  </si>
  <si>
    <t>260 000 connections per year</t>
  </si>
  <si>
    <t>Co benefits</t>
  </si>
  <si>
    <t>Productive use of electricity</t>
  </si>
  <si>
    <t xml:space="preserve">5 kg LPG per household per month </t>
  </si>
  <si>
    <t xml:space="preserve">1 million households </t>
  </si>
  <si>
    <t>R bn per 'unit' programme (in base year 2016)</t>
  </si>
  <si>
    <t>Sustainable houses built</t>
  </si>
  <si>
    <t xml:space="preserve">250 000 houses </t>
  </si>
  <si>
    <t>Fewer health and safelty impacts by replacing paraffin, wood or coal</t>
  </si>
  <si>
    <t>Houses that are warmer in winter, cooler in summer, have ceilings, and hot water - generally better houses; improved health due to lower energy use required indoors</t>
  </si>
  <si>
    <t>Households with fully subsidised PV systems</t>
  </si>
  <si>
    <t>100 000 households</t>
  </si>
  <si>
    <t>Household energy security / autonomy;  improved health due to lower energy use required indoos</t>
  </si>
  <si>
    <t xml:space="preserve">Free basic energy </t>
  </si>
  <si>
    <t>Houses built</t>
  </si>
  <si>
    <t>Rooftop solar</t>
  </si>
  <si>
    <t xml:space="preserve">Households receiving 5 kg LPG per month </t>
  </si>
  <si>
    <t>ROUNDED TO nearest hundred thousand</t>
  </si>
  <si>
    <t>Min</t>
  </si>
  <si>
    <t>Average of above</t>
  </si>
  <si>
    <t>millions of connections</t>
  </si>
  <si>
    <t>min</t>
  </si>
  <si>
    <t>max</t>
  </si>
  <si>
    <t xml:space="preserve">National Treasury 2015. Market Readiness Proposal, to World Bank Partnership for Market Readiness Pretoria, Republic of South Africa. https://www.thepmr.org/system/files/documents/South%20Africa%20Final%20MRP_16%20Feb%202015.pdf </t>
  </si>
  <si>
    <t>MRP 2015, extrapolating from GHG-Inventory</t>
  </si>
  <si>
    <t>NT 2013</t>
  </si>
  <si>
    <t>DEA 2014 (MPA)</t>
  </si>
  <si>
    <t>NT 2015 (MRP)</t>
  </si>
  <si>
    <t xml:space="preserve">DEA (Department of Environment Affairs) 2014. South Africa's greenhouse gas mitigation potential analysis. Technical summary.  Pretoria, DEA https://www.environment.gov.za/sites/default/files/docs/technicalsummary.pdf </t>
  </si>
  <si>
    <t>Scenarios of carbon tax revenue and emission projections</t>
  </si>
  <si>
    <t>DEA 2014 MPA</t>
  </si>
  <si>
    <t>Mitigation potential analysis - WEM and WAM scenarios</t>
  </si>
  <si>
    <t xml:space="preserve">Source: </t>
  </si>
  <si>
    <t xml:space="preserve">SUSTAINABLE HOUSING </t>
  </si>
  <si>
    <t>ROOFTOP SOLAR</t>
  </si>
  <si>
    <t>Table 4: Number of  combined energy poverty programmes that could be funded in different carbon revenue scenarios</t>
  </si>
  <si>
    <t xml:space="preserve">Table 3: Quantified benefits of four programmes, for four carbon revenues scenarios and selected years </t>
  </si>
  <si>
    <t>Table 2: Poverty reduction programmes, their main quantified benefits and co-benefits</t>
  </si>
  <si>
    <t>Caculated in sheet 'Match rev and exp'</t>
  </si>
  <si>
    <t>Costs per system (household scale)</t>
  </si>
  <si>
    <t>Used for Table 3</t>
  </si>
  <si>
    <t>SSN 2011</t>
  </si>
  <si>
    <t>SSN (SouthSouthNorth) Sustainable settlements facility. Online resource SSN, Cape Town, 2011) http://southsouthnorth.org/sustainable-settlements-facility-ssf/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</si>
</sst>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R&quot;* #,##0.00_);_(&quot;R&quot;* \(#,##0.00\);_(&quot;R&quot;* &quot;-&quot;??_);_(@_)"/>
    <numFmt numFmtId="43" formatCode="_(* #,##0.00_);_(* \(#,##0.00\);_(* &quot;-&quot;??_);_(@_)"/>
    <numFmt numFmtId="164" formatCode="_-&quot;R&quot;* #,##0.00_-;\-&quot;R&quot;* #,##0.00_-;_-&quot;R&quot;* &quot;-&quot;??_-;_-@_-"/>
    <numFmt numFmtId="165" formatCode="_-* #,##0.00_-;\-* #,##0.00_-;_-* &quot;-&quot;??_-;_-@_-"/>
    <numFmt numFmtId="166" formatCode="0.0%"/>
    <numFmt numFmtId="167" formatCode="_(&quot;R&quot;* #,##0_);_(&quot;R&quot;* \(#,##0\);_(&quot;R&quot;* &quot;-&quot;??_);_(@_)"/>
    <numFmt numFmtId="168" formatCode="_-&quot;R&quot;* #,##0_-;\-&quot;R&quot;* #,##0_-;_-&quot;R&quot;* &quot;-&quot;??_-;_-@_-"/>
    <numFmt numFmtId="169" formatCode="_-* #,##0.0_-;\-* #,##0.0_-;_-* &quot;-&quot;??_-;_-@_-"/>
    <numFmt numFmtId="170" formatCode="_-* #,##0_-;\-* #,##0_-;_-* &quot;-&quot;??_-;_-@_-"/>
    <numFmt numFmtId="171" formatCode="_-&quot;R&quot;* #,##0.0_-;\-&quot;R&quot;* #,##0.0_-;_-&quot;R&quot;* &quot;-&quot;??_-;_-@_-"/>
    <numFmt numFmtId="172" formatCode="&quot;R&quot;#,##0.0_);[Red]\(&quot;R&quot;#,##0.0\)"/>
    <numFmt numFmtId="173" formatCode="_(&quot;R&quot;* #,##0.0_);_(&quot;R&quot;* \(#,##0.0\);_(&quot;R&quot;* &quot;-&quot;??_);_(@_)"/>
    <numFmt numFmtId="174" formatCode="_(* #,##0.0_);_(* \(#,##0.0\);_(* &quot;-&quot;??_);_(@_)"/>
  </numFmts>
  <fonts count="2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mbria"/>
    </font>
    <font>
      <sz val="12"/>
      <color rgb="FF000000"/>
      <name val="Calibri"/>
      <family val="2"/>
      <scheme val="minor"/>
    </font>
    <font>
      <sz val="11"/>
      <color theme="1"/>
      <name val="Calibri"/>
      <scheme val="minor"/>
    </font>
    <font>
      <sz val="12"/>
      <color theme="1"/>
      <name val="Courier New"/>
    </font>
    <font>
      <b/>
      <sz val="12"/>
      <color theme="1"/>
      <name val="Courier New"/>
    </font>
    <font>
      <sz val="12"/>
      <color rgb="FFFF0000"/>
      <name val="Calibri"/>
      <family val="2"/>
      <scheme val="minor"/>
    </font>
    <font>
      <b/>
      <sz val="14"/>
      <color theme="1"/>
      <name val="Calibri"/>
      <scheme val="minor"/>
    </font>
    <font>
      <sz val="20"/>
      <color rgb="FFFF0000"/>
      <name val="Calibri"/>
      <family val="2"/>
      <scheme val="minor"/>
    </font>
    <font>
      <sz val="12"/>
      <color theme="1"/>
      <name val="Helvetica"/>
    </font>
    <font>
      <sz val="12"/>
      <color rgb="FF333333"/>
      <name val="Arial"/>
    </font>
    <font>
      <b/>
      <sz val="12"/>
      <color rgb="FF000000"/>
      <name val="Calibri"/>
      <scheme val="minor"/>
    </font>
    <font>
      <i/>
      <sz val="12"/>
      <color theme="1"/>
      <name val="Calibri"/>
      <scheme val="minor"/>
    </font>
    <font>
      <i/>
      <sz val="12"/>
      <color rgb="FF000000"/>
      <name val="Calibri"/>
      <scheme val="minor"/>
    </font>
    <font>
      <sz val="8"/>
      <color theme="1"/>
      <name val="Helvetica"/>
    </font>
    <font>
      <i/>
      <sz val="8"/>
      <color theme="1"/>
      <name val="Helvetica"/>
    </font>
    <font>
      <sz val="10"/>
      <color rgb="FFFF0000"/>
      <name val="Helvetica"/>
    </font>
    <font>
      <i/>
      <sz val="12"/>
      <color theme="1"/>
      <name val="Helvetica"/>
    </font>
    <font>
      <sz val="9"/>
      <color theme="1"/>
      <name val="Helvetica"/>
    </font>
    <font>
      <sz val="11"/>
      <color rgb="FFFF0000"/>
      <name val="Calibri"/>
      <family val="2"/>
    </font>
    <font>
      <b/>
      <sz val="16"/>
      <color theme="1"/>
      <name val="Arial"/>
    </font>
    <font>
      <b/>
      <sz val="16"/>
      <color theme="1"/>
      <name val="Calibri"/>
      <scheme val="minor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7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6">
    <xf numFmtId="0" fontId="0" fillId="0" borderId="0" xfId="0"/>
    <xf numFmtId="166" fontId="0" fillId="0" borderId="0" xfId="2" applyNumberFormat="1" applyFont="1"/>
    <xf numFmtId="167" fontId="0" fillId="0" borderId="0" xfId="1" applyNumberFormat="1" applyFont="1"/>
    <xf numFmtId="0" fontId="7" fillId="0" borderId="0" xfId="0" applyFont="1" applyAlignment="1">
      <alignment vertical="center"/>
    </xf>
    <xf numFmtId="0" fontId="6" fillId="0" borderId="0" xfId="0" applyFont="1"/>
    <xf numFmtId="9" fontId="0" fillId="0" borderId="0" xfId="0" applyNumberFormat="1"/>
    <xf numFmtId="168" fontId="0" fillId="0" borderId="0" xfId="0" applyNumberFormat="1"/>
    <xf numFmtId="170" fontId="0" fillId="0" borderId="0" xfId="0" applyNumberFormat="1"/>
    <xf numFmtId="171" fontId="0" fillId="0" borderId="0" xfId="0" applyNumberFormat="1"/>
    <xf numFmtId="170" fontId="0" fillId="0" borderId="0" xfId="7" applyNumberFormat="1" applyFont="1"/>
    <xf numFmtId="169" fontId="0" fillId="0" borderId="0" xfId="7" applyNumberFormat="1" applyFont="1"/>
    <xf numFmtId="172" fontId="0" fillId="0" borderId="0" xfId="0" applyNumberFormat="1"/>
    <xf numFmtId="173" fontId="0" fillId="0" borderId="0" xfId="1" applyNumberFormat="1" applyFont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165" fontId="0" fillId="0" borderId="0" xfId="0" applyNumberFormat="1"/>
    <xf numFmtId="0" fontId="0" fillId="0" borderId="0" xfId="0" applyNumberFormat="1"/>
    <xf numFmtId="0" fontId="0" fillId="2" borderId="0" xfId="0" applyFill="1"/>
    <xf numFmtId="167" fontId="0" fillId="2" borderId="0" xfId="1" applyNumberFormat="1" applyFont="1" applyFill="1"/>
    <xf numFmtId="9" fontId="0" fillId="2" borderId="0" xfId="0" applyNumberFormat="1" applyFill="1"/>
    <xf numFmtId="0" fontId="9" fillId="0" borderId="0" xfId="74"/>
    <xf numFmtId="1" fontId="9" fillId="0" borderId="0" xfId="2" applyNumberFormat="1" applyFont="1"/>
    <xf numFmtId="1" fontId="9" fillId="0" borderId="0" xfId="74" applyNumberFormat="1"/>
    <xf numFmtId="10" fontId="9" fillId="0" borderId="0" xfId="2" applyNumberFormat="1" applyFont="1"/>
    <xf numFmtId="1" fontId="0" fillId="0" borderId="0" xfId="0" applyNumberFormat="1"/>
    <xf numFmtId="170" fontId="9" fillId="0" borderId="0" xfId="7" applyNumberFormat="1" applyFont="1"/>
    <xf numFmtId="9" fontId="6" fillId="0" borderId="0" xfId="0" applyNumberFormat="1" applyFont="1"/>
    <xf numFmtId="0" fontId="0" fillId="3" borderId="0" xfId="0" applyFill="1"/>
    <xf numFmtId="0" fontId="12" fillId="0" borderId="0" xfId="0" applyFont="1"/>
    <xf numFmtId="168" fontId="0" fillId="0" borderId="0" xfId="7" applyNumberFormat="1" applyFont="1"/>
    <xf numFmtId="9" fontId="0" fillId="0" borderId="0" xfId="2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4" fillId="0" borderId="0" xfId="117"/>
    <xf numFmtId="167" fontId="0" fillId="0" borderId="0" xfId="0" applyNumberFormat="1"/>
    <xf numFmtId="44" fontId="0" fillId="0" borderId="0" xfId="0" applyNumberFormat="1"/>
    <xf numFmtId="0" fontId="16" fillId="0" borderId="0" xfId="0" applyFont="1"/>
    <xf numFmtId="165" fontId="0" fillId="0" borderId="0" xfId="7" applyFont="1"/>
    <xf numFmtId="0" fontId="17" fillId="0" borderId="0" xfId="0" applyFont="1"/>
    <xf numFmtId="170" fontId="8" fillId="0" borderId="0" xfId="0" applyNumberFormat="1" applyFont="1"/>
    <xf numFmtId="0" fontId="18" fillId="0" borderId="0" xfId="0" applyFont="1"/>
    <xf numFmtId="0" fontId="19" fillId="0" borderId="0" xfId="0" applyFont="1"/>
    <xf numFmtId="165" fontId="19" fillId="0" borderId="0" xfId="7" applyFont="1"/>
    <xf numFmtId="0" fontId="0" fillId="2" borderId="0" xfId="0" applyFill="1" applyAlignment="1">
      <alignment vertical="center"/>
    </xf>
    <xf numFmtId="0" fontId="0" fillId="0" borderId="0" xfId="0" applyFill="1"/>
    <xf numFmtId="170" fontId="19" fillId="0" borderId="0" xfId="0" applyNumberFormat="1" applyFont="1"/>
    <xf numFmtId="0" fontId="20" fillId="0" borderId="0" xfId="0" applyFont="1"/>
    <xf numFmtId="0" fontId="0" fillId="0" borderId="0" xfId="0" applyAlignment="1">
      <alignment vertical="top"/>
    </xf>
    <xf numFmtId="167" fontId="21" fillId="0" borderId="0" xfId="1" applyNumberFormat="1" applyFont="1"/>
    <xf numFmtId="167" fontId="18" fillId="0" borderId="0" xfId="1" applyNumberFormat="1" applyFont="1"/>
    <xf numFmtId="166" fontId="18" fillId="0" borderId="0" xfId="2" applyNumberFormat="1" applyFont="1"/>
    <xf numFmtId="10" fontId="22" fillId="0" borderId="0" xfId="0" applyNumberFormat="1" applyFont="1"/>
    <xf numFmtId="167" fontId="20" fillId="0" borderId="0" xfId="1" applyNumberFormat="1" applyFont="1" applyFill="1"/>
    <xf numFmtId="167" fontId="0" fillId="0" borderId="0" xfId="1" applyNumberFormat="1" applyFont="1" applyFill="1"/>
    <xf numFmtId="167" fontId="18" fillId="2" borderId="0" xfId="1" applyNumberFormat="1" applyFont="1" applyFill="1"/>
    <xf numFmtId="167" fontId="23" fillId="2" borderId="0" xfId="1" applyNumberFormat="1" applyFont="1" applyFill="1"/>
    <xf numFmtId="167" fontId="1" fillId="2" borderId="0" xfId="1" applyNumberFormat="1" applyFont="1" applyFill="1" applyAlignment="1">
      <alignment horizontal="left" indent="2"/>
    </xf>
    <xf numFmtId="0" fontId="1" fillId="2" borderId="0" xfId="0" applyFont="1" applyFill="1"/>
    <xf numFmtId="0" fontId="8" fillId="0" borderId="0" xfId="0" applyFont="1"/>
    <xf numFmtId="167" fontId="0" fillId="2" borderId="0" xfId="0" applyNumberFormat="1" applyFill="1"/>
    <xf numFmtId="170" fontId="0" fillId="2" borderId="0" xfId="7" applyNumberFormat="1" applyFont="1" applyFill="1"/>
    <xf numFmtId="44" fontId="0" fillId="2" borderId="0" xfId="0" applyNumberFormat="1" applyFill="1"/>
    <xf numFmtId="0" fontId="0" fillId="0" borderId="0" xfId="0" applyFont="1"/>
    <xf numFmtId="0" fontId="24" fillId="0" borderId="0" xfId="0" applyFont="1"/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indent="1"/>
    </xf>
    <xf numFmtId="0" fontId="24" fillId="0" borderId="1" xfId="0" applyFont="1" applyBorder="1"/>
    <xf numFmtId="165" fontId="0" fillId="0" borderId="0" xfId="0" applyNumberFormat="1" applyFill="1"/>
    <xf numFmtId="44" fontId="0" fillId="2" borderId="0" xfId="1" applyNumberFormat="1" applyFont="1" applyFill="1"/>
    <xf numFmtId="173" fontId="0" fillId="2" borderId="0" xfId="1" applyNumberFormat="1" applyFont="1" applyFill="1"/>
    <xf numFmtId="164" fontId="0" fillId="0" borderId="0" xfId="0" applyNumberFormat="1" applyFill="1"/>
    <xf numFmtId="170" fontId="18" fillId="0" borderId="0" xfId="0" applyNumberFormat="1" applyFont="1"/>
    <xf numFmtId="0" fontId="25" fillId="0" borderId="0" xfId="0" applyFont="1"/>
    <xf numFmtId="0" fontId="0" fillId="0" borderId="0" xfId="0" applyAlignment="1">
      <alignment vertical="center" wrapText="1"/>
    </xf>
    <xf numFmtId="169" fontId="18" fillId="0" borderId="0" xfId="7" applyNumberFormat="1" applyFont="1"/>
    <xf numFmtId="169" fontId="19" fillId="0" borderId="0" xfId="7" applyNumberFormat="1" applyFont="1"/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170" fontId="6" fillId="0" borderId="0" xfId="7" applyNumberFormat="1" applyFont="1"/>
    <xf numFmtId="174" fontId="0" fillId="0" borderId="0" xfId="7" applyNumberFormat="1" applyFont="1"/>
    <xf numFmtId="0" fontId="12" fillId="2" borderId="0" xfId="0" applyFont="1" applyFill="1"/>
    <xf numFmtId="170" fontId="18" fillId="0" borderId="0" xfId="7" applyNumberFormat="1" applyFont="1"/>
    <xf numFmtId="174" fontId="0" fillId="0" borderId="0" xfId="0" applyNumberFormat="1"/>
    <xf numFmtId="43" fontId="0" fillId="0" borderId="0" xfId="0" applyNumberFormat="1"/>
    <xf numFmtId="169" fontId="0" fillId="0" borderId="0" xfId="0" applyNumberFormat="1"/>
    <xf numFmtId="0" fontId="26" fillId="0" borderId="0" xfId="0" applyFont="1" applyAlignment="1">
      <alignment vertical="center"/>
    </xf>
    <xf numFmtId="0" fontId="27" fillId="0" borderId="0" xfId="0" applyFont="1"/>
    <xf numFmtId="0" fontId="0" fillId="2" borderId="1" xfId="0" applyFill="1" applyBorder="1"/>
    <xf numFmtId="0" fontId="6" fillId="2" borderId="1" xfId="0" applyFont="1" applyFill="1" applyBorder="1"/>
    <xf numFmtId="170" fontId="0" fillId="2" borderId="1" xfId="7" applyNumberFormat="1" applyFont="1" applyFill="1" applyBorder="1"/>
    <xf numFmtId="170" fontId="6" fillId="2" borderId="1" xfId="7" applyNumberFormat="1" applyFont="1" applyFill="1" applyBorder="1"/>
    <xf numFmtId="0" fontId="28" fillId="0" borderId="0" xfId="0" applyFont="1"/>
    <xf numFmtId="0" fontId="9" fillId="0" borderId="1" xfId="0" applyFont="1" applyBorder="1" applyAlignment="1">
      <alignment vertical="center" wrapText="1"/>
    </xf>
  </cellXfs>
  <cellStyles count="157">
    <cellStyle name="Comma" xfId="7" builtinId="3"/>
    <cellStyle name="Currency" xfId="1" builtinId="4"/>
    <cellStyle name="Currency 2" xfId="14"/>
    <cellStyle name="Followed Hyperlink" xfId="4" builtinId="9" hidden="1"/>
    <cellStyle name="Followed Hyperlink" xfId="6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Hyperlink" xfId="3" builtinId="8" hidden="1"/>
    <cellStyle name="Hyperlink" xfId="5" builtinId="8" hidden="1"/>
    <cellStyle name="Hyperlink" xfId="8" builtinId="8" hidden="1"/>
    <cellStyle name="Hyperlink" xfId="10" builtinId="8" hidden="1"/>
    <cellStyle name="Hyperlink" xfId="12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/>
    <cellStyle name="Normal" xfId="0" builtinId="0"/>
    <cellStyle name="Normal 2" xfId="74"/>
    <cellStyle name="Percent" xfId="2" builtinId="5"/>
    <cellStyle name="Percent 2" xfId="15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'Tax revenue emiss Fig 2 and 4'!$B$36</c:f>
              <c:strCache>
                <c:ptCount val="1"/>
                <c:pt idx="0">
                  <c:v>WEM-Hi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'Tax revenue emiss Fig 2 and 4'!$C$35:$Q$35</c:f>
              <c:numCache>
                <c:formatCode>General</c:formatCode>
                <c:ptCount val="15"/>
                <c:pt idx="0">
                  <c:v>2016.0</c:v>
                </c:pt>
                <c:pt idx="1">
                  <c:v>2017.0</c:v>
                </c:pt>
                <c:pt idx="2">
                  <c:v>2018.0</c:v>
                </c:pt>
                <c:pt idx="3">
                  <c:v>2019.0</c:v>
                </c:pt>
                <c:pt idx="4">
                  <c:v>2020.0</c:v>
                </c:pt>
                <c:pt idx="5">
                  <c:v>2021.0</c:v>
                </c:pt>
                <c:pt idx="6">
                  <c:v>2022.0</c:v>
                </c:pt>
                <c:pt idx="7">
                  <c:v>2023.0</c:v>
                </c:pt>
                <c:pt idx="8">
                  <c:v>2024.0</c:v>
                </c:pt>
                <c:pt idx="9">
                  <c:v>2025.0</c:v>
                </c:pt>
                <c:pt idx="10">
                  <c:v>2026.0</c:v>
                </c:pt>
                <c:pt idx="11">
                  <c:v>2027.0</c:v>
                </c:pt>
                <c:pt idx="12">
                  <c:v>2028.0</c:v>
                </c:pt>
                <c:pt idx="13">
                  <c:v>2029.0</c:v>
                </c:pt>
                <c:pt idx="14">
                  <c:v>2030.0</c:v>
                </c:pt>
              </c:numCache>
            </c:numRef>
          </c:cat>
          <c:val>
            <c:numRef>
              <c:f>'Tax revenue emiss Fig 2 and 4'!$C$36:$Q$36</c:f>
              <c:numCache>
                <c:formatCode>_("R"* #,##0_);_("R"* \(#,##0\);_("R"* "-"??_);_(@_)</c:formatCode>
                <c:ptCount val="15"/>
                <c:pt idx="0">
                  <c:v>28.9302385469717</c:v>
                </c:pt>
                <c:pt idx="1">
                  <c:v>32.62260505542074</c:v>
                </c:pt>
                <c:pt idx="2">
                  <c:v>36.76414248008986</c:v>
                </c:pt>
                <c:pt idx="3">
                  <c:v>41.40776133913861</c:v>
                </c:pt>
                <c:pt idx="4">
                  <c:v>46.61246254519622</c:v>
                </c:pt>
                <c:pt idx="5">
                  <c:v>51.37663381126105</c:v>
                </c:pt>
                <c:pt idx="6">
                  <c:v>56.60475271960701</c:v>
                </c:pt>
                <c:pt idx="7">
                  <c:v>62.34056019689626</c:v>
                </c:pt>
                <c:pt idx="8">
                  <c:v>68.63182645314628</c:v>
                </c:pt>
                <c:pt idx="9">
                  <c:v>75.5307157251362</c:v>
                </c:pt>
                <c:pt idx="10">
                  <c:v>84.38976492835111</c:v>
                </c:pt>
                <c:pt idx="11">
                  <c:v>94.18286542343957</c:v>
                </c:pt>
                <c:pt idx="12">
                  <c:v>105.0027675022007</c:v>
                </c:pt>
                <c:pt idx="13">
                  <c:v>116.9510835748537</c:v>
                </c:pt>
                <c:pt idx="14">
                  <c:v>130.139112507117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'Tax revenue emiss Fig 2 and 4'!$B$37</c:f>
              <c:strCache>
                <c:ptCount val="1"/>
                <c:pt idx="0">
                  <c:v>WEM-Lo</c:v>
                </c:pt>
              </c:strCache>
            </c:strRef>
          </c:tx>
          <c:marker>
            <c:symbol val="none"/>
          </c:marker>
          <c:cat>
            <c:numRef>
              <c:f>'Tax revenue emiss Fig 2 and 4'!$C$35:$Q$35</c:f>
              <c:numCache>
                <c:formatCode>General</c:formatCode>
                <c:ptCount val="15"/>
                <c:pt idx="0">
                  <c:v>2016.0</c:v>
                </c:pt>
                <c:pt idx="1">
                  <c:v>2017.0</c:v>
                </c:pt>
                <c:pt idx="2">
                  <c:v>2018.0</c:v>
                </c:pt>
                <c:pt idx="3">
                  <c:v>2019.0</c:v>
                </c:pt>
                <c:pt idx="4">
                  <c:v>2020.0</c:v>
                </c:pt>
                <c:pt idx="5">
                  <c:v>2021.0</c:v>
                </c:pt>
                <c:pt idx="6">
                  <c:v>2022.0</c:v>
                </c:pt>
                <c:pt idx="7">
                  <c:v>2023.0</c:v>
                </c:pt>
                <c:pt idx="8">
                  <c:v>2024.0</c:v>
                </c:pt>
                <c:pt idx="9">
                  <c:v>2025.0</c:v>
                </c:pt>
                <c:pt idx="10">
                  <c:v>2026.0</c:v>
                </c:pt>
                <c:pt idx="11">
                  <c:v>2027.0</c:v>
                </c:pt>
                <c:pt idx="12">
                  <c:v>2028.0</c:v>
                </c:pt>
                <c:pt idx="13">
                  <c:v>2029.0</c:v>
                </c:pt>
                <c:pt idx="14">
                  <c:v>2030.0</c:v>
                </c:pt>
              </c:numCache>
            </c:numRef>
          </c:cat>
          <c:val>
            <c:numRef>
              <c:f>'Tax revenue emiss Fig 2 and 4'!$C$37:$Q$37</c:f>
              <c:numCache>
                <c:formatCode>_("R"* #,##0_);_("R"* \(#,##0\);_("R"* "-"??_);_(@_)</c:formatCode>
                <c:ptCount val="15"/>
                <c:pt idx="0">
                  <c:v>7.232559636742924</c:v>
                </c:pt>
                <c:pt idx="1">
                  <c:v>8.155651263855183</c:v>
                </c:pt>
                <c:pt idx="2">
                  <c:v>9.191035620022463</c:v>
                </c:pt>
                <c:pt idx="3">
                  <c:v>10.35194033478465</c:v>
                </c:pt>
                <c:pt idx="4">
                  <c:v>11.65311563629905</c:v>
                </c:pt>
                <c:pt idx="5">
                  <c:v>12.84415845281526</c:v>
                </c:pt>
                <c:pt idx="6">
                  <c:v>14.15118817990175</c:v>
                </c:pt>
                <c:pt idx="7">
                  <c:v>15.58514004922406</c:v>
                </c:pt>
                <c:pt idx="8">
                  <c:v>17.15795661328656</c:v>
                </c:pt>
                <c:pt idx="9">
                  <c:v>18.88267893128404</c:v>
                </c:pt>
                <c:pt idx="10">
                  <c:v>21.09744123208777</c:v>
                </c:pt>
                <c:pt idx="11">
                  <c:v>23.54571635585989</c:v>
                </c:pt>
                <c:pt idx="12">
                  <c:v>26.25069187555017</c:v>
                </c:pt>
                <c:pt idx="13">
                  <c:v>29.2377708937134</c:v>
                </c:pt>
                <c:pt idx="14">
                  <c:v>32.53477812677923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'Tax revenue emiss Fig 2 and 4'!$B$38</c:f>
              <c:strCache>
                <c:ptCount val="1"/>
                <c:pt idx="0">
                  <c:v>WAM-Hi</c:v>
                </c:pt>
              </c:strCache>
            </c:strRef>
          </c:tx>
          <c:marker>
            <c:symbol val="none"/>
          </c:marker>
          <c:cat>
            <c:numRef>
              <c:f>'Tax revenue emiss Fig 2 and 4'!$C$35:$Q$35</c:f>
              <c:numCache>
                <c:formatCode>General</c:formatCode>
                <c:ptCount val="15"/>
                <c:pt idx="0">
                  <c:v>2016.0</c:v>
                </c:pt>
                <c:pt idx="1">
                  <c:v>2017.0</c:v>
                </c:pt>
                <c:pt idx="2">
                  <c:v>2018.0</c:v>
                </c:pt>
                <c:pt idx="3">
                  <c:v>2019.0</c:v>
                </c:pt>
                <c:pt idx="4">
                  <c:v>2020.0</c:v>
                </c:pt>
                <c:pt idx="5">
                  <c:v>2021.0</c:v>
                </c:pt>
                <c:pt idx="6">
                  <c:v>2022.0</c:v>
                </c:pt>
                <c:pt idx="7">
                  <c:v>2023.0</c:v>
                </c:pt>
                <c:pt idx="8">
                  <c:v>2024.0</c:v>
                </c:pt>
                <c:pt idx="9">
                  <c:v>2025.0</c:v>
                </c:pt>
                <c:pt idx="10">
                  <c:v>2026.0</c:v>
                </c:pt>
                <c:pt idx="11">
                  <c:v>2027.0</c:v>
                </c:pt>
                <c:pt idx="12">
                  <c:v>2028.0</c:v>
                </c:pt>
                <c:pt idx="13">
                  <c:v>2029.0</c:v>
                </c:pt>
                <c:pt idx="14">
                  <c:v>2030.0</c:v>
                </c:pt>
              </c:numCache>
            </c:numRef>
          </c:cat>
          <c:val>
            <c:numRef>
              <c:f>'Tax revenue emiss Fig 2 and 4'!$C$38:$Q$38</c:f>
              <c:numCache>
                <c:formatCode>_("R"* #,##0_);_("R"* \(#,##0\);_("R"* "-"??_);_(@_)</c:formatCode>
                <c:ptCount val="15"/>
                <c:pt idx="0">
                  <c:v>26.29216809326787</c:v>
                </c:pt>
                <c:pt idx="1">
                  <c:v>29.12431061662673</c:v>
                </c:pt>
                <c:pt idx="2">
                  <c:v>32.25995996372468</c:v>
                </c:pt>
                <c:pt idx="3">
                  <c:v>35.73149607407594</c:v>
                </c:pt>
                <c:pt idx="4">
                  <c:v>39.57473980686022</c:v>
                </c:pt>
                <c:pt idx="5">
                  <c:v>42.39391663370973</c:v>
                </c:pt>
                <c:pt idx="6">
                  <c:v>45.41088341809127</c:v>
                </c:pt>
                <c:pt idx="7">
                  <c:v>48.6392438215181</c:v>
                </c:pt>
                <c:pt idx="8">
                  <c:v>52.09351223561744</c:v>
                </c:pt>
                <c:pt idx="9">
                  <c:v>55.78917243551498</c:v>
                </c:pt>
                <c:pt idx="10">
                  <c:v>59.74941827199392</c:v>
                </c:pt>
                <c:pt idx="11">
                  <c:v>63.98625273872218</c:v>
                </c:pt>
                <c:pt idx="12">
                  <c:v>68.5185844431862</c:v>
                </c:pt>
                <c:pt idx="13">
                  <c:v>73.36657720283665</c:v>
                </c:pt>
                <c:pt idx="14">
                  <c:v>78.55172986359474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'Tax revenue emiss Fig 2 and 4'!$B$39</c:f>
              <c:strCache>
                <c:ptCount val="1"/>
                <c:pt idx="0">
                  <c:v>WAM-Lo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'Tax revenue emiss Fig 2 and 4'!$C$35:$Q$35</c:f>
              <c:numCache>
                <c:formatCode>General</c:formatCode>
                <c:ptCount val="15"/>
                <c:pt idx="0">
                  <c:v>2016.0</c:v>
                </c:pt>
                <c:pt idx="1">
                  <c:v>2017.0</c:v>
                </c:pt>
                <c:pt idx="2">
                  <c:v>2018.0</c:v>
                </c:pt>
                <c:pt idx="3">
                  <c:v>2019.0</c:v>
                </c:pt>
                <c:pt idx="4">
                  <c:v>2020.0</c:v>
                </c:pt>
                <c:pt idx="5">
                  <c:v>2021.0</c:v>
                </c:pt>
                <c:pt idx="6">
                  <c:v>2022.0</c:v>
                </c:pt>
                <c:pt idx="7">
                  <c:v>2023.0</c:v>
                </c:pt>
                <c:pt idx="8">
                  <c:v>2024.0</c:v>
                </c:pt>
                <c:pt idx="9">
                  <c:v>2025.0</c:v>
                </c:pt>
                <c:pt idx="10">
                  <c:v>2026.0</c:v>
                </c:pt>
                <c:pt idx="11">
                  <c:v>2027.0</c:v>
                </c:pt>
                <c:pt idx="12">
                  <c:v>2028.0</c:v>
                </c:pt>
                <c:pt idx="13">
                  <c:v>2029.0</c:v>
                </c:pt>
                <c:pt idx="14">
                  <c:v>2030.0</c:v>
                </c:pt>
              </c:numCache>
            </c:numRef>
          </c:cat>
          <c:val>
            <c:numRef>
              <c:f>'Tax revenue emiss Fig 2 and 4'!$C$39:$Q$39</c:f>
              <c:numCache>
                <c:formatCode>_("R"* #,##0_);_("R"* \(#,##0\);_("R"* "-"??_);_(@_)</c:formatCode>
                <c:ptCount val="15"/>
                <c:pt idx="0">
                  <c:v>6.573042023316966</c:v>
                </c:pt>
                <c:pt idx="1">
                  <c:v>7.28107765415668</c:v>
                </c:pt>
                <c:pt idx="2">
                  <c:v>8.064989990931165</c:v>
                </c:pt>
                <c:pt idx="3">
                  <c:v>8.932874018518983</c:v>
                </c:pt>
                <c:pt idx="4">
                  <c:v>9.893684951715053</c:v>
                </c:pt>
                <c:pt idx="5">
                  <c:v>10.59847915842743</c:v>
                </c:pt>
                <c:pt idx="6">
                  <c:v>11.35272085452281</c:v>
                </c:pt>
                <c:pt idx="7">
                  <c:v>12.15981095537952</c:v>
                </c:pt>
                <c:pt idx="8">
                  <c:v>13.02337805890436</c:v>
                </c:pt>
                <c:pt idx="9">
                  <c:v>13.94729310887874</c:v>
                </c:pt>
                <c:pt idx="10">
                  <c:v>14.93735456799848</c:v>
                </c:pt>
                <c:pt idx="11">
                  <c:v>15.99656318468054</c:v>
                </c:pt>
                <c:pt idx="12">
                  <c:v>17.12964611079655</c:v>
                </c:pt>
                <c:pt idx="13">
                  <c:v>18.34164430070916</c:v>
                </c:pt>
                <c:pt idx="14">
                  <c:v>19.63793246589867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'Tax revenue emiss Fig 2 and 4'!$B$40</c:f>
              <c:strCache>
                <c:ptCount val="1"/>
                <c:pt idx="0">
                  <c:v>WEM-Med</c:v>
                </c:pt>
              </c:strCache>
            </c:strRef>
          </c:tx>
          <c:marker>
            <c:symbol val="none"/>
          </c:marker>
          <c:cat>
            <c:numRef>
              <c:f>'Tax revenue emiss Fig 2 and 4'!$C$35:$Q$35</c:f>
              <c:numCache>
                <c:formatCode>General</c:formatCode>
                <c:ptCount val="15"/>
                <c:pt idx="0">
                  <c:v>2016.0</c:v>
                </c:pt>
                <c:pt idx="1">
                  <c:v>2017.0</c:v>
                </c:pt>
                <c:pt idx="2">
                  <c:v>2018.0</c:v>
                </c:pt>
                <c:pt idx="3">
                  <c:v>2019.0</c:v>
                </c:pt>
                <c:pt idx="4">
                  <c:v>2020.0</c:v>
                </c:pt>
                <c:pt idx="5">
                  <c:v>2021.0</c:v>
                </c:pt>
                <c:pt idx="6">
                  <c:v>2022.0</c:v>
                </c:pt>
                <c:pt idx="7">
                  <c:v>2023.0</c:v>
                </c:pt>
                <c:pt idx="8">
                  <c:v>2024.0</c:v>
                </c:pt>
                <c:pt idx="9">
                  <c:v>2025.0</c:v>
                </c:pt>
                <c:pt idx="10">
                  <c:v>2026.0</c:v>
                </c:pt>
                <c:pt idx="11">
                  <c:v>2027.0</c:v>
                </c:pt>
                <c:pt idx="12">
                  <c:v>2028.0</c:v>
                </c:pt>
                <c:pt idx="13">
                  <c:v>2029.0</c:v>
                </c:pt>
                <c:pt idx="14">
                  <c:v>2030.0</c:v>
                </c:pt>
              </c:numCache>
            </c:numRef>
          </c:cat>
          <c:val>
            <c:numRef>
              <c:f>'Tax revenue emiss Fig 2 and 4'!$C$40:$Q$40</c:f>
              <c:numCache>
                <c:formatCode>_("R"* #,##0_);_("R"* \(#,##0\);_("R"* "-"??_);_(@_)</c:formatCode>
                <c:ptCount val="15"/>
                <c:pt idx="0">
                  <c:v>18.08139909185732</c:v>
                </c:pt>
                <c:pt idx="1">
                  <c:v>20.38912815963796</c:v>
                </c:pt>
                <c:pt idx="2">
                  <c:v>22.97758905005616</c:v>
                </c:pt>
                <c:pt idx="3">
                  <c:v>25.87985083696163</c:v>
                </c:pt>
                <c:pt idx="4">
                  <c:v>29.13278909074763</c:v>
                </c:pt>
                <c:pt idx="5">
                  <c:v>32.11039613203815</c:v>
                </c:pt>
                <c:pt idx="6">
                  <c:v>35.37797044975438</c:v>
                </c:pt>
                <c:pt idx="7">
                  <c:v>38.96285012306016</c:v>
                </c:pt>
                <c:pt idx="8">
                  <c:v>42.89489153321642</c:v>
                </c:pt>
                <c:pt idx="9">
                  <c:v>47.20669732821011</c:v>
                </c:pt>
                <c:pt idx="10">
                  <c:v>52.74360308021944</c:v>
                </c:pt>
                <c:pt idx="11">
                  <c:v>58.86429088964971</c:v>
                </c:pt>
                <c:pt idx="12">
                  <c:v>65.6267296888754</c:v>
                </c:pt>
                <c:pt idx="13">
                  <c:v>73.09442723428348</c:v>
                </c:pt>
                <c:pt idx="14">
                  <c:v>81.33694531694806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'Tax revenue emiss Fig 2 and 4'!$B$41</c:f>
              <c:strCache>
                <c:ptCount val="1"/>
                <c:pt idx="0">
                  <c:v>WAM-Med</c:v>
                </c:pt>
              </c:strCache>
            </c:strRef>
          </c:tx>
          <c:marker>
            <c:symbol val="none"/>
          </c:marker>
          <c:cat>
            <c:numRef>
              <c:f>'Tax revenue emiss Fig 2 and 4'!$C$35:$Q$35</c:f>
              <c:numCache>
                <c:formatCode>General</c:formatCode>
                <c:ptCount val="15"/>
                <c:pt idx="0">
                  <c:v>2016.0</c:v>
                </c:pt>
                <c:pt idx="1">
                  <c:v>2017.0</c:v>
                </c:pt>
                <c:pt idx="2">
                  <c:v>2018.0</c:v>
                </c:pt>
                <c:pt idx="3">
                  <c:v>2019.0</c:v>
                </c:pt>
                <c:pt idx="4">
                  <c:v>2020.0</c:v>
                </c:pt>
                <c:pt idx="5">
                  <c:v>2021.0</c:v>
                </c:pt>
                <c:pt idx="6">
                  <c:v>2022.0</c:v>
                </c:pt>
                <c:pt idx="7">
                  <c:v>2023.0</c:v>
                </c:pt>
                <c:pt idx="8">
                  <c:v>2024.0</c:v>
                </c:pt>
                <c:pt idx="9">
                  <c:v>2025.0</c:v>
                </c:pt>
                <c:pt idx="10">
                  <c:v>2026.0</c:v>
                </c:pt>
                <c:pt idx="11">
                  <c:v>2027.0</c:v>
                </c:pt>
                <c:pt idx="12">
                  <c:v>2028.0</c:v>
                </c:pt>
                <c:pt idx="13">
                  <c:v>2029.0</c:v>
                </c:pt>
                <c:pt idx="14">
                  <c:v>2030.0</c:v>
                </c:pt>
              </c:numCache>
            </c:numRef>
          </c:cat>
          <c:val>
            <c:numRef>
              <c:f>'Tax revenue emiss Fig 2 and 4'!$C$41:$Q$41</c:f>
              <c:numCache>
                <c:formatCode>_("R"* #,##0_);_("R"* \(#,##0\);_("R"* "-"??_);_(@_)</c:formatCode>
                <c:ptCount val="15"/>
                <c:pt idx="0">
                  <c:v>16.43260505829242</c:v>
                </c:pt>
                <c:pt idx="1">
                  <c:v>18.2026941353917</c:v>
                </c:pt>
                <c:pt idx="2">
                  <c:v>20.16247497732792</c:v>
                </c:pt>
                <c:pt idx="3">
                  <c:v>22.33218504629746</c:v>
                </c:pt>
                <c:pt idx="4">
                  <c:v>24.73421237928763</c:v>
                </c:pt>
                <c:pt idx="5">
                  <c:v>26.49619789606858</c:v>
                </c:pt>
                <c:pt idx="6">
                  <c:v>28.38180213630704</c:v>
                </c:pt>
                <c:pt idx="7">
                  <c:v>30.39952738844881</c:v>
                </c:pt>
                <c:pt idx="8">
                  <c:v>32.5584451472609</c:v>
                </c:pt>
                <c:pt idx="9">
                  <c:v>34.86823277219686</c:v>
                </c:pt>
                <c:pt idx="10">
                  <c:v>37.34338641999619</c:v>
                </c:pt>
                <c:pt idx="11">
                  <c:v>39.99140796170135</c:v>
                </c:pt>
                <c:pt idx="12">
                  <c:v>42.82411527699136</c:v>
                </c:pt>
                <c:pt idx="13">
                  <c:v>45.85411075177288</c:v>
                </c:pt>
                <c:pt idx="14">
                  <c:v>49.09483116474669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22241328"/>
        <c:axId val="-1700362240"/>
      </c:lineChart>
      <c:catAx>
        <c:axId val="-172224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700362240"/>
        <c:crosses val="autoZero"/>
        <c:auto val="1"/>
        <c:lblAlgn val="ctr"/>
        <c:lblOffset val="100"/>
        <c:noMultiLvlLbl val="0"/>
      </c:catAx>
      <c:valAx>
        <c:axId val="-170036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 billion</a:t>
                </a:r>
              </a:p>
            </c:rich>
          </c:tx>
          <c:layout/>
          <c:overlay val="0"/>
        </c:title>
        <c:numFmt formatCode="_(&quot;R&quot;* #,##0_);_(&quot;R&quot;* \(#,##0\);_(&quot;R&quot;* &quot;-&quot;??_);_(@_)" sourceLinked="1"/>
        <c:majorTickMark val="out"/>
        <c:minorTickMark val="none"/>
        <c:tickLblPos val="nextTo"/>
        <c:crossAx val="-1722241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'Tax revenue emiss Fig 2 and 4'!$B$36</c:f>
              <c:strCache>
                <c:ptCount val="1"/>
                <c:pt idx="0">
                  <c:v>WEM-Hi</c:v>
                </c:pt>
              </c:strCache>
            </c:strRef>
          </c:tx>
          <c:marker>
            <c:symbol val="none"/>
          </c:marker>
          <c:cat>
            <c:numRef>
              <c:f>'Tax revenue emiss Fig 2 and 4'!$C$35:$Q$35</c:f>
              <c:numCache>
                <c:formatCode>General</c:formatCode>
                <c:ptCount val="15"/>
                <c:pt idx="0">
                  <c:v>2016.0</c:v>
                </c:pt>
                <c:pt idx="1">
                  <c:v>2017.0</c:v>
                </c:pt>
                <c:pt idx="2">
                  <c:v>2018.0</c:v>
                </c:pt>
                <c:pt idx="3">
                  <c:v>2019.0</c:v>
                </c:pt>
                <c:pt idx="4">
                  <c:v>2020.0</c:v>
                </c:pt>
                <c:pt idx="5">
                  <c:v>2021.0</c:v>
                </c:pt>
                <c:pt idx="6">
                  <c:v>2022.0</c:v>
                </c:pt>
                <c:pt idx="7">
                  <c:v>2023.0</c:v>
                </c:pt>
                <c:pt idx="8">
                  <c:v>2024.0</c:v>
                </c:pt>
                <c:pt idx="9">
                  <c:v>2025.0</c:v>
                </c:pt>
                <c:pt idx="10">
                  <c:v>2026.0</c:v>
                </c:pt>
                <c:pt idx="11">
                  <c:v>2027.0</c:v>
                </c:pt>
                <c:pt idx="12">
                  <c:v>2028.0</c:v>
                </c:pt>
                <c:pt idx="13">
                  <c:v>2029.0</c:v>
                </c:pt>
                <c:pt idx="14">
                  <c:v>2030.0</c:v>
                </c:pt>
              </c:numCache>
            </c:numRef>
          </c:cat>
          <c:val>
            <c:numRef>
              <c:f>'Tax revenue emiss Fig 2 and 4'!$C$36:$Q$36</c:f>
              <c:numCache>
                <c:formatCode>_("R"* #,##0_);_("R"* \(#,##0\);_("R"* "-"??_);_(@_)</c:formatCode>
                <c:ptCount val="15"/>
                <c:pt idx="0">
                  <c:v>28.9302385469717</c:v>
                </c:pt>
                <c:pt idx="1">
                  <c:v>32.62260505542074</c:v>
                </c:pt>
                <c:pt idx="2">
                  <c:v>36.76414248008986</c:v>
                </c:pt>
                <c:pt idx="3">
                  <c:v>41.40776133913861</c:v>
                </c:pt>
                <c:pt idx="4">
                  <c:v>46.61246254519622</c:v>
                </c:pt>
                <c:pt idx="5">
                  <c:v>51.37663381126105</c:v>
                </c:pt>
                <c:pt idx="6">
                  <c:v>56.60475271960701</c:v>
                </c:pt>
                <c:pt idx="7">
                  <c:v>62.34056019689626</c:v>
                </c:pt>
                <c:pt idx="8">
                  <c:v>68.63182645314628</c:v>
                </c:pt>
                <c:pt idx="9">
                  <c:v>75.5307157251362</c:v>
                </c:pt>
                <c:pt idx="10">
                  <c:v>84.38976492835111</c:v>
                </c:pt>
                <c:pt idx="11">
                  <c:v>94.18286542343957</c:v>
                </c:pt>
                <c:pt idx="12">
                  <c:v>105.0027675022007</c:v>
                </c:pt>
                <c:pt idx="13">
                  <c:v>116.9510835748537</c:v>
                </c:pt>
                <c:pt idx="14">
                  <c:v>130.139112507117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'Tax revenue emiss Fig 2 and 4'!$B$39</c:f>
              <c:strCache>
                <c:ptCount val="1"/>
                <c:pt idx="0">
                  <c:v>WAM-Lo</c:v>
                </c:pt>
              </c:strCache>
            </c:strRef>
          </c:tx>
          <c:marker>
            <c:symbol val="none"/>
          </c:marker>
          <c:cat>
            <c:numRef>
              <c:f>'Tax revenue emiss Fig 2 and 4'!$C$35:$Q$35</c:f>
              <c:numCache>
                <c:formatCode>General</c:formatCode>
                <c:ptCount val="15"/>
                <c:pt idx="0">
                  <c:v>2016.0</c:v>
                </c:pt>
                <c:pt idx="1">
                  <c:v>2017.0</c:v>
                </c:pt>
                <c:pt idx="2">
                  <c:v>2018.0</c:v>
                </c:pt>
                <c:pt idx="3">
                  <c:v>2019.0</c:v>
                </c:pt>
                <c:pt idx="4">
                  <c:v>2020.0</c:v>
                </c:pt>
                <c:pt idx="5">
                  <c:v>2021.0</c:v>
                </c:pt>
                <c:pt idx="6">
                  <c:v>2022.0</c:v>
                </c:pt>
                <c:pt idx="7">
                  <c:v>2023.0</c:v>
                </c:pt>
                <c:pt idx="8">
                  <c:v>2024.0</c:v>
                </c:pt>
                <c:pt idx="9">
                  <c:v>2025.0</c:v>
                </c:pt>
                <c:pt idx="10">
                  <c:v>2026.0</c:v>
                </c:pt>
                <c:pt idx="11">
                  <c:v>2027.0</c:v>
                </c:pt>
                <c:pt idx="12">
                  <c:v>2028.0</c:v>
                </c:pt>
                <c:pt idx="13">
                  <c:v>2029.0</c:v>
                </c:pt>
                <c:pt idx="14">
                  <c:v>2030.0</c:v>
                </c:pt>
              </c:numCache>
            </c:numRef>
          </c:cat>
          <c:val>
            <c:numRef>
              <c:f>'Tax revenue emiss Fig 2 and 4'!$C$39:$Q$39</c:f>
              <c:numCache>
                <c:formatCode>_("R"* #,##0_);_("R"* \(#,##0\);_("R"* "-"??_);_(@_)</c:formatCode>
                <c:ptCount val="15"/>
                <c:pt idx="0">
                  <c:v>6.573042023316966</c:v>
                </c:pt>
                <c:pt idx="1">
                  <c:v>7.28107765415668</c:v>
                </c:pt>
                <c:pt idx="2">
                  <c:v>8.064989990931165</c:v>
                </c:pt>
                <c:pt idx="3">
                  <c:v>8.932874018518983</c:v>
                </c:pt>
                <c:pt idx="4">
                  <c:v>9.893684951715053</c:v>
                </c:pt>
                <c:pt idx="5">
                  <c:v>10.59847915842743</c:v>
                </c:pt>
                <c:pt idx="6">
                  <c:v>11.35272085452281</c:v>
                </c:pt>
                <c:pt idx="7">
                  <c:v>12.15981095537952</c:v>
                </c:pt>
                <c:pt idx="8">
                  <c:v>13.02337805890436</c:v>
                </c:pt>
                <c:pt idx="9">
                  <c:v>13.94729310887874</c:v>
                </c:pt>
                <c:pt idx="10">
                  <c:v>14.93735456799848</c:v>
                </c:pt>
                <c:pt idx="11">
                  <c:v>15.99656318468054</c:v>
                </c:pt>
                <c:pt idx="12">
                  <c:v>17.12964611079655</c:v>
                </c:pt>
                <c:pt idx="13">
                  <c:v>18.34164430070916</c:v>
                </c:pt>
                <c:pt idx="14">
                  <c:v>19.63793246589867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'Tax revenue emiss Fig 2 and 4'!$B$40</c:f>
              <c:strCache>
                <c:ptCount val="1"/>
                <c:pt idx="0">
                  <c:v>WEM-Med</c:v>
                </c:pt>
              </c:strCache>
            </c:strRef>
          </c:tx>
          <c:marker>
            <c:symbol val="none"/>
          </c:marker>
          <c:cat>
            <c:numRef>
              <c:f>'Tax revenue emiss Fig 2 and 4'!$C$35:$Q$35</c:f>
              <c:numCache>
                <c:formatCode>General</c:formatCode>
                <c:ptCount val="15"/>
                <c:pt idx="0">
                  <c:v>2016.0</c:v>
                </c:pt>
                <c:pt idx="1">
                  <c:v>2017.0</c:v>
                </c:pt>
                <c:pt idx="2">
                  <c:v>2018.0</c:v>
                </c:pt>
                <c:pt idx="3">
                  <c:v>2019.0</c:v>
                </c:pt>
                <c:pt idx="4">
                  <c:v>2020.0</c:v>
                </c:pt>
                <c:pt idx="5">
                  <c:v>2021.0</c:v>
                </c:pt>
                <c:pt idx="6">
                  <c:v>2022.0</c:v>
                </c:pt>
                <c:pt idx="7">
                  <c:v>2023.0</c:v>
                </c:pt>
                <c:pt idx="8">
                  <c:v>2024.0</c:v>
                </c:pt>
                <c:pt idx="9">
                  <c:v>2025.0</c:v>
                </c:pt>
                <c:pt idx="10">
                  <c:v>2026.0</c:v>
                </c:pt>
                <c:pt idx="11">
                  <c:v>2027.0</c:v>
                </c:pt>
                <c:pt idx="12">
                  <c:v>2028.0</c:v>
                </c:pt>
                <c:pt idx="13">
                  <c:v>2029.0</c:v>
                </c:pt>
                <c:pt idx="14">
                  <c:v>2030.0</c:v>
                </c:pt>
              </c:numCache>
            </c:numRef>
          </c:cat>
          <c:val>
            <c:numRef>
              <c:f>'Tax revenue emiss Fig 2 and 4'!$C$40:$Q$40</c:f>
              <c:numCache>
                <c:formatCode>_("R"* #,##0_);_("R"* \(#,##0\);_("R"* "-"??_);_(@_)</c:formatCode>
                <c:ptCount val="15"/>
                <c:pt idx="0">
                  <c:v>18.08139909185732</c:v>
                </c:pt>
                <c:pt idx="1">
                  <c:v>20.38912815963796</c:v>
                </c:pt>
                <c:pt idx="2">
                  <c:v>22.97758905005616</c:v>
                </c:pt>
                <c:pt idx="3">
                  <c:v>25.87985083696163</c:v>
                </c:pt>
                <c:pt idx="4">
                  <c:v>29.13278909074763</c:v>
                </c:pt>
                <c:pt idx="5">
                  <c:v>32.11039613203815</c:v>
                </c:pt>
                <c:pt idx="6">
                  <c:v>35.37797044975438</c:v>
                </c:pt>
                <c:pt idx="7">
                  <c:v>38.96285012306016</c:v>
                </c:pt>
                <c:pt idx="8">
                  <c:v>42.89489153321642</c:v>
                </c:pt>
                <c:pt idx="9">
                  <c:v>47.20669732821011</c:v>
                </c:pt>
                <c:pt idx="10">
                  <c:v>52.74360308021944</c:v>
                </c:pt>
                <c:pt idx="11">
                  <c:v>58.86429088964971</c:v>
                </c:pt>
                <c:pt idx="12">
                  <c:v>65.6267296888754</c:v>
                </c:pt>
                <c:pt idx="13">
                  <c:v>73.09442723428348</c:v>
                </c:pt>
                <c:pt idx="14">
                  <c:v>81.33694531694806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'Tax revenue emiss Fig 2 and 4'!$B$41</c:f>
              <c:strCache>
                <c:ptCount val="1"/>
                <c:pt idx="0">
                  <c:v>WAM-Med</c:v>
                </c:pt>
              </c:strCache>
            </c:strRef>
          </c:tx>
          <c:marker>
            <c:symbol val="none"/>
          </c:marker>
          <c:cat>
            <c:numRef>
              <c:f>'Tax revenue emiss Fig 2 and 4'!$C$35:$Q$35</c:f>
              <c:numCache>
                <c:formatCode>General</c:formatCode>
                <c:ptCount val="15"/>
                <c:pt idx="0">
                  <c:v>2016.0</c:v>
                </c:pt>
                <c:pt idx="1">
                  <c:v>2017.0</c:v>
                </c:pt>
                <c:pt idx="2">
                  <c:v>2018.0</c:v>
                </c:pt>
                <c:pt idx="3">
                  <c:v>2019.0</c:v>
                </c:pt>
                <c:pt idx="4">
                  <c:v>2020.0</c:v>
                </c:pt>
                <c:pt idx="5">
                  <c:v>2021.0</c:v>
                </c:pt>
                <c:pt idx="6">
                  <c:v>2022.0</c:v>
                </c:pt>
                <c:pt idx="7">
                  <c:v>2023.0</c:v>
                </c:pt>
                <c:pt idx="8">
                  <c:v>2024.0</c:v>
                </c:pt>
                <c:pt idx="9">
                  <c:v>2025.0</c:v>
                </c:pt>
                <c:pt idx="10">
                  <c:v>2026.0</c:v>
                </c:pt>
                <c:pt idx="11">
                  <c:v>2027.0</c:v>
                </c:pt>
                <c:pt idx="12">
                  <c:v>2028.0</c:v>
                </c:pt>
                <c:pt idx="13">
                  <c:v>2029.0</c:v>
                </c:pt>
                <c:pt idx="14">
                  <c:v>2030.0</c:v>
                </c:pt>
              </c:numCache>
            </c:numRef>
          </c:cat>
          <c:val>
            <c:numRef>
              <c:f>'Tax revenue emiss Fig 2 and 4'!$C$41:$Q$41</c:f>
              <c:numCache>
                <c:formatCode>_("R"* #,##0_);_("R"* \(#,##0\);_("R"* "-"??_);_(@_)</c:formatCode>
                <c:ptCount val="15"/>
                <c:pt idx="0">
                  <c:v>16.43260505829242</c:v>
                </c:pt>
                <c:pt idx="1">
                  <c:v>18.2026941353917</c:v>
                </c:pt>
                <c:pt idx="2">
                  <c:v>20.16247497732792</c:v>
                </c:pt>
                <c:pt idx="3">
                  <c:v>22.33218504629746</c:v>
                </c:pt>
                <c:pt idx="4">
                  <c:v>24.73421237928763</c:v>
                </c:pt>
                <c:pt idx="5">
                  <c:v>26.49619789606858</c:v>
                </c:pt>
                <c:pt idx="6">
                  <c:v>28.38180213630704</c:v>
                </c:pt>
                <c:pt idx="7">
                  <c:v>30.39952738844881</c:v>
                </c:pt>
                <c:pt idx="8">
                  <c:v>32.5584451472609</c:v>
                </c:pt>
                <c:pt idx="9">
                  <c:v>34.86823277219686</c:v>
                </c:pt>
                <c:pt idx="10">
                  <c:v>37.34338641999619</c:v>
                </c:pt>
                <c:pt idx="11">
                  <c:v>39.99140796170135</c:v>
                </c:pt>
                <c:pt idx="12">
                  <c:v>42.82411527699136</c:v>
                </c:pt>
                <c:pt idx="13">
                  <c:v>45.85411075177288</c:v>
                </c:pt>
                <c:pt idx="14">
                  <c:v>49.09483116474669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36475680"/>
        <c:axId val="-1713724128"/>
      </c:lineChart>
      <c:catAx>
        <c:axId val="-173647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713724128"/>
        <c:crosses val="autoZero"/>
        <c:auto val="1"/>
        <c:lblAlgn val="ctr"/>
        <c:lblOffset val="100"/>
        <c:noMultiLvlLbl val="0"/>
      </c:catAx>
      <c:valAx>
        <c:axId val="-1713724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 billion</a:t>
                </a:r>
              </a:p>
            </c:rich>
          </c:tx>
          <c:layout/>
          <c:overlay val="0"/>
        </c:title>
        <c:numFmt formatCode="_(&quot;R&quot;* #,##0_);_(&quot;R&quot;* \(#,##0\);_(&quot;R&quot;* &quot;-&quot;??_);_(@_)" sourceLinked="1"/>
        <c:majorTickMark val="out"/>
        <c:minorTickMark val="none"/>
        <c:tickLblPos val="nextTo"/>
        <c:crossAx val="-1736475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'Tax revenue emiss Fig 2 and 4'!$B$36</c:f>
              <c:strCache>
                <c:ptCount val="1"/>
                <c:pt idx="0">
                  <c:v>WEM-Hi</c:v>
                </c:pt>
              </c:strCache>
            </c:strRef>
          </c:tx>
          <c:marker>
            <c:symbol val="none"/>
          </c:marker>
          <c:cat>
            <c:numRef>
              <c:f>'Tax revenue emiss Fig 2 and 4'!$C$35:$Q$35</c:f>
              <c:numCache>
                <c:formatCode>General</c:formatCode>
                <c:ptCount val="15"/>
                <c:pt idx="0">
                  <c:v>2016.0</c:v>
                </c:pt>
                <c:pt idx="1">
                  <c:v>2017.0</c:v>
                </c:pt>
                <c:pt idx="2">
                  <c:v>2018.0</c:v>
                </c:pt>
                <c:pt idx="3">
                  <c:v>2019.0</c:v>
                </c:pt>
                <c:pt idx="4">
                  <c:v>2020.0</c:v>
                </c:pt>
                <c:pt idx="5">
                  <c:v>2021.0</c:v>
                </c:pt>
                <c:pt idx="6">
                  <c:v>2022.0</c:v>
                </c:pt>
                <c:pt idx="7">
                  <c:v>2023.0</c:v>
                </c:pt>
                <c:pt idx="8">
                  <c:v>2024.0</c:v>
                </c:pt>
                <c:pt idx="9">
                  <c:v>2025.0</c:v>
                </c:pt>
                <c:pt idx="10">
                  <c:v>2026.0</c:v>
                </c:pt>
                <c:pt idx="11">
                  <c:v>2027.0</c:v>
                </c:pt>
                <c:pt idx="12">
                  <c:v>2028.0</c:v>
                </c:pt>
                <c:pt idx="13">
                  <c:v>2029.0</c:v>
                </c:pt>
                <c:pt idx="14">
                  <c:v>2030.0</c:v>
                </c:pt>
              </c:numCache>
            </c:numRef>
          </c:cat>
          <c:val>
            <c:numRef>
              <c:f>'Tax revenue emiss Fig 2 and 4'!$C$36:$Q$36</c:f>
              <c:numCache>
                <c:formatCode>_("R"* #,##0_);_("R"* \(#,##0\);_("R"* "-"??_);_(@_)</c:formatCode>
                <c:ptCount val="15"/>
                <c:pt idx="0">
                  <c:v>28.9302385469717</c:v>
                </c:pt>
                <c:pt idx="1">
                  <c:v>32.62260505542074</c:v>
                </c:pt>
                <c:pt idx="2">
                  <c:v>36.76414248008986</c:v>
                </c:pt>
                <c:pt idx="3">
                  <c:v>41.40776133913861</c:v>
                </c:pt>
                <c:pt idx="4">
                  <c:v>46.61246254519622</c:v>
                </c:pt>
                <c:pt idx="5">
                  <c:v>51.37663381126105</c:v>
                </c:pt>
                <c:pt idx="6">
                  <c:v>56.60475271960701</c:v>
                </c:pt>
                <c:pt idx="7">
                  <c:v>62.34056019689626</c:v>
                </c:pt>
                <c:pt idx="8">
                  <c:v>68.63182645314628</c:v>
                </c:pt>
                <c:pt idx="9">
                  <c:v>75.5307157251362</c:v>
                </c:pt>
                <c:pt idx="10">
                  <c:v>84.38976492835111</c:v>
                </c:pt>
                <c:pt idx="11">
                  <c:v>94.18286542343957</c:v>
                </c:pt>
                <c:pt idx="12">
                  <c:v>105.0027675022007</c:v>
                </c:pt>
                <c:pt idx="13">
                  <c:v>116.9510835748537</c:v>
                </c:pt>
                <c:pt idx="14">
                  <c:v>130.139112507117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'Tax revenue emiss Fig 2 and 4'!$B$37</c:f>
              <c:strCache>
                <c:ptCount val="1"/>
                <c:pt idx="0">
                  <c:v>WEM-Lo</c:v>
                </c:pt>
              </c:strCache>
            </c:strRef>
          </c:tx>
          <c:marker>
            <c:symbol val="none"/>
          </c:marker>
          <c:cat>
            <c:numRef>
              <c:f>'Tax revenue emiss Fig 2 and 4'!$C$35:$Q$35</c:f>
              <c:numCache>
                <c:formatCode>General</c:formatCode>
                <c:ptCount val="15"/>
                <c:pt idx="0">
                  <c:v>2016.0</c:v>
                </c:pt>
                <c:pt idx="1">
                  <c:v>2017.0</c:v>
                </c:pt>
                <c:pt idx="2">
                  <c:v>2018.0</c:v>
                </c:pt>
                <c:pt idx="3">
                  <c:v>2019.0</c:v>
                </c:pt>
                <c:pt idx="4">
                  <c:v>2020.0</c:v>
                </c:pt>
                <c:pt idx="5">
                  <c:v>2021.0</c:v>
                </c:pt>
                <c:pt idx="6">
                  <c:v>2022.0</c:v>
                </c:pt>
                <c:pt idx="7">
                  <c:v>2023.0</c:v>
                </c:pt>
                <c:pt idx="8">
                  <c:v>2024.0</c:v>
                </c:pt>
                <c:pt idx="9">
                  <c:v>2025.0</c:v>
                </c:pt>
                <c:pt idx="10">
                  <c:v>2026.0</c:v>
                </c:pt>
                <c:pt idx="11">
                  <c:v>2027.0</c:v>
                </c:pt>
                <c:pt idx="12">
                  <c:v>2028.0</c:v>
                </c:pt>
                <c:pt idx="13">
                  <c:v>2029.0</c:v>
                </c:pt>
                <c:pt idx="14">
                  <c:v>2030.0</c:v>
                </c:pt>
              </c:numCache>
            </c:numRef>
          </c:cat>
          <c:val>
            <c:numRef>
              <c:f>'Tax revenue emiss Fig 2 and 4'!$C$37:$Q$37</c:f>
              <c:numCache>
                <c:formatCode>_("R"* #,##0_);_("R"* \(#,##0\);_("R"* "-"??_);_(@_)</c:formatCode>
                <c:ptCount val="15"/>
                <c:pt idx="0">
                  <c:v>7.232559636742924</c:v>
                </c:pt>
                <c:pt idx="1">
                  <c:v>8.155651263855183</c:v>
                </c:pt>
                <c:pt idx="2">
                  <c:v>9.191035620022463</c:v>
                </c:pt>
                <c:pt idx="3">
                  <c:v>10.35194033478465</c:v>
                </c:pt>
                <c:pt idx="4">
                  <c:v>11.65311563629905</c:v>
                </c:pt>
                <c:pt idx="5">
                  <c:v>12.84415845281526</c:v>
                </c:pt>
                <c:pt idx="6">
                  <c:v>14.15118817990175</c:v>
                </c:pt>
                <c:pt idx="7">
                  <c:v>15.58514004922406</c:v>
                </c:pt>
                <c:pt idx="8">
                  <c:v>17.15795661328656</c:v>
                </c:pt>
                <c:pt idx="9">
                  <c:v>18.88267893128404</c:v>
                </c:pt>
                <c:pt idx="10">
                  <c:v>21.09744123208777</c:v>
                </c:pt>
                <c:pt idx="11">
                  <c:v>23.54571635585989</c:v>
                </c:pt>
                <c:pt idx="12">
                  <c:v>26.25069187555017</c:v>
                </c:pt>
                <c:pt idx="13">
                  <c:v>29.2377708937134</c:v>
                </c:pt>
                <c:pt idx="14">
                  <c:v>32.53477812677923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'Tax revenue emiss Fig 2 and 4'!$B$38</c:f>
              <c:strCache>
                <c:ptCount val="1"/>
                <c:pt idx="0">
                  <c:v>WAM-Hi</c:v>
                </c:pt>
              </c:strCache>
            </c:strRef>
          </c:tx>
          <c:marker>
            <c:symbol val="none"/>
          </c:marker>
          <c:cat>
            <c:numRef>
              <c:f>'Tax revenue emiss Fig 2 and 4'!$C$35:$Q$35</c:f>
              <c:numCache>
                <c:formatCode>General</c:formatCode>
                <c:ptCount val="15"/>
                <c:pt idx="0">
                  <c:v>2016.0</c:v>
                </c:pt>
                <c:pt idx="1">
                  <c:v>2017.0</c:v>
                </c:pt>
                <c:pt idx="2">
                  <c:v>2018.0</c:v>
                </c:pt>
                <c:pt idx="3">
                  <c:v>2019.0</c:v>
                </c:pt>
                <c:pt idx="4">
                  <c:v>2020.0</c:v>
                </c:pt>
                <c:pt idx="5">
                  <c:v>2021.0</c:v>
                </c:pt>
                <c:pt idx="6">
                  <c:v>2022.0</c:v>
                </c:pt>
                <c:pt idx="7">
                  <c:v>2023.0</c:v>
                </c:pt>
                <c:pt idx="8">
                  <c:v>2024.0</c:v>
                </c:pt>
                <c:pt idx="9">
                  <c:v>2025.0</c:v>
                </c:pt>
                <c:pt idx="10">
                  <c:v>2026.0</c:v>
                </c:pt>
                <c:pt idx="11">
                  <c:v>2027.0</c:v>
                </c:pt>
                <c:pt idx="12">
                  <c:v>2028.0</c:v>
                </c:pt>
                <c:pt idx="13">
                  <c:v>2029.0</c:v>
                </c:pt>
                <c:pt idx="14">
                  <c:v>2030.0</c:v>
                </c:pt>
              </c:numCache>
            </c:numRef>
          </c:cat>
          <c:val>
            <c:numRef>
              <c:f>'Tax revenue emiss Fig 2 and 4'!$C$38:$Q$38</c:f>
              <c:numCache>
                <c:formatCode>_("R"* #,##0_);_("R"* \(#,##0\);_("R"* "-"??_);_(@_)</c:formatCode>
                <c:ptCount val="15"/>
                <c:pt idx="0">
                  <c:v>26.29216809326787</c:v>
                </c:pt>
                <c:pt idx="1">
                  <c:v>29.12431061662673</c:v>
                </c:pt>
                <c:pt idx="2">
                  <c:v>32.25995996372468</c:v>
                </c:pt>
                <c:pt idx="3">
                  <c:v>35.73149607407594</c:v>
                </c:pt>
                <c:pt idx="4">
                  <c:v>39.57473980686022</c:v>
                </c:pt>
                <c:pt idx="5">
                  <c:v>42.39391663370973</c:v>
                </c:pt>
                <c:pt idx="6">
                  <c:v>45.41088341809127</c:v>
                </c:pt>
                <c:pt idx="7">
                  <c:v>48.6392438215181</c:v>
                </c:pt>
                <c:pt idx="8">
                  <c:v>52.09351223561744</c:v>
                </c:pt>
                <c:pt idx="9">
                  <c:v>55.78917243551498</c:v>
                </c:pt>
                <c:pt idx="10">
                  <c:v>59.74941827199392</c:v>
                </c:pt>
                <c:pt idx="11">
                  <c:v>63.98625273872218</c:v>
                </c:pt>
                <c:pt idx="12">
                  <c:v>68.5185844431862</c:v>
                </c:pt>
                <c:pt idx="13">
                  <c:v>73.36657720283665</c:v>
                </c:pt>
                <c:pt idx="14">
                  <c:v>78.55172986359474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'Tax revenue emiss Fig 2 and 4'!$B$39</c:f>
              <c:strCache>
                <c:ptCount val="1"/>
                <c:pt idx="0">
                  <c:v>WAM-Lo</c:v>
                </c:pt>
              </c:strCache>
            </c:strRef>
          </c:tx>
          <c:marker>
            <c:symbol val="none"/>
          </c:marker>
          <c:cat>
            <c:numRef>
              <c:f>'Tax revenue emiss Fig 2 and 4'!$C$35:$Q$35</c:f>
              <c:numCache>
                <c:formatCode>General</c:formatCode>
                <c:ptCount val="15"/>
                <c:pt idx="0">
                  <c:v>2016.0</c:v>
                </c:pt>
                <c:pt idx="1">
                  <c:v>2017.0</c:v>
                </c:pt>
                <c:pt idx="2">
                  <c:v>2018.0</c:v>
                </c:pt>
                <c:pt idx="3">
                  <c:v>2019.0</c:v>
                </c:pt>
                <c:pt idx="4">
                  <c:v>2020.0</c:v>
                </c:pt>
                <c:pt idx="5">
                  <c:v>2021.0</c:v>
                </c:pt>
                <c:pt idx="6">
                  <c:v>2022.0</c:v>
                </c:pt>
                <c:pt idx="7">
                  <c:v>2023.0</c:v>
                </c:pt>
                <c:pt idx="8">
                  <c:v>2024.0</c:v>
                </c:pt>
                <c:pt idx="9">
                  <c:v>2025.0</c:v>
                </c:pt>
                <c:pt idx="10">
                  <c:v>2026.0</c:v>
                </c:pt>
                <c:pt idx="11">
                  <c:v>2027.0</c:v>
                </c:pt>
                <c:pt idx="12">
                  <c:v>2028.0</c:v>
                </c:pt>
                <c:pt idx="13">
                  <c:v>2029.0</c:v>
                </c:pt>
                <c:pt idx="14">
                  <c:v>2030.0</c:v>
                </c:pt>
              </c:numCache>
            </c:numRef>
          </c:cat>
          <c:val>
            <c:numRef>
              <c:f>'Tax revenue emiss Fig 2 and 4'!$C$39:$Q$39</c:f>
              <c:numCache>
                <c:formatCode>_("R"* #,##0_);_("R"* \(#,##0\);_("R"* "-"??_);_(@_)</c:formatCode>
                <c:ptCount val="15"/>
                <c:pt idx="0">
                  <c:v>6.573042023316966</c:v>
                </c:pt>
                <c:pt idx="1">
                  <c:v>7.28107765415668</c:v>
                </c:pt>
                <c:pt idx="2">
                  <c:v>8.064989990931165</c:v>
                </c:pt>
                <c:pt idx="3">
                  <c:v>8.932874018518983</c:v>
                </c:pt>
                <c:pt idx="4">
                  <c:v>9.893684951715053</c:v>
                </c:pt>
                <c:pt idx="5">
                  <c:v>10.59847915842743</c:v>
                </c:pt>
                <c:pt idx="6">
                  <c:v>11.35272085452281</c:v>
                </c:pt>
                <c:pt idx="7">
                  <c:v>12.15981095537952</c:v>
                </c:pt>
                <c:pt idx="8">
                  <c:v>13.02337805890436</c:v>
                </c:pt>
                <c:pt idx="9">
                  <c:v>13.94729310887874</c:v>
                </c:pt>
                <c:pt idx="10">
                  <c:v>14.93735456799848</c:v>
                </c:pt>
                <c:pt idx="11">
                  <c:v>15.99656318468054</c:v>
                </c:pt>
                <c:pt idx="12">
                  <c:v>17.12964611079655</c:v>
                </c:pt>
                <c:pt idx="13">
                  <c:v>18.34164430070916</c:v>
                </c:pt>
                <c:pt idx="14">
                  <c:v>19.63793246589867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14090480"/>
        <c:axId val="-1714105520"/>
      </c:lineChart>
      <c:catAx>
        <c:axId val="-171409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714105520"/>
        <c:crosses val="autoZero"/>
        <c:auto val="1"/>
        <c:lblAlgn val="ctr"/>
        <c:lblOffset val="100"/>
        <c:noMultiLvlLbl val="0"/>
      </c:catAx>
      <c:valAx>
        <c:axId val="-1714105520"/>
        <c:scaling>
          <c:orientation val="minMax"/>
        </c:scaling>
        <c:delete val="0"/>
        <c:axPos val="l"/>
        <c:majorGridlines/>
        <c:numFmt formatCode="_(&quot;R&quot;* #,##0_);_(&quot;R&quot;* \(#,##0\);_(&quot;R&quot;* &quot;-&quot;??_);_(@_)" sourceLinked="1"/>
        <c:majorTickMark val="out"/>
        <c:minorTickMark val="none"/>
        <c:tickLblPos val="nextTo"/>
        <c:crossAx val="-1714090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'Tax revenue emiss Fig 2 and 4'!$B$22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cat>
            <c:numRef>
              <c:f>'Tax revenue emiss Fig 2 and 4'!$C$21:$Q$21</c:f>
              <c:numCache>
                <c:formatCode>General</c:formatCode>
                <c:ptCount val="15"/>
                <c:pt idx="0">
                  <c:v>2016.0</c:v>
                </c:pt>
                <c:pt idx="1">
                  <c:v>2017.0</c:v>
                </c:pt>
                <c:pt idx="2">
                  <c:v>2018.0</c:v>
                </c:pt>
                <c:pt idx="3">
                  <c:v>2019.0</c:v>
                </c:pt>
                <c:pt idx="4">
                  <c:v>2020.0</c:v>
                </c:pt>
                <c:pt idx="5">
                  <c:v>2021.0</c:v>
                </c:pt>
                <c:pt idx="6">
                  <c:v>2022.0</c:v>
                </c:pt>
                <c:pt idx="7">
                  <c:v>2023.0</c:v>
                </c:pt>
                <c:pt idx="8">
                  <c:v>2024.0</c:v>
                </c:pt>
                <c:pt idx="9">
                  <c:v>2025.0</c:v>
                </c:pt>
                <c:pt idx="10">
                  <c:v>2026.0</c:v>
                </c:pt>
                <c:pt idx="11">
                  <c:v>2027.0</c:v>
                </c:pt>
                <c:pt idx="12">
                  <c:v>2028.0</c:v>
                </c:pt>
                <c:pt idx="13">
                  <c:v>2029.0</c:v>
                </c:pt>
                <c:pt idx="14">
                  <c:v>2030.0</c:v>
                </c:pt>
              </c:numCache>
            </c:numRef>
          </c:cat>
          <c:val>
            <c:numRef>
              <c:f>'Tax revenue emiss Fig 2 and 4'!$C$22:$Q$22</c:f>
              <c:numCache>
                <c:formatCode>_-"R"* #,##0_-;\-"R"* #,##0_-;_-"R"* "-"??_-;_-@_-</c:formatCode>
                <c:ptCount val="15"/>
                <c:pt idx="0">
                  <c:v>48.0</c:v>
                </c:pt>
                <c:pt idx="1">
                  <c:v>52.8</c:v>
                </c:pt>
                <c:pt idx="2">
                  <c:v>58.08000000000001</c:v>
                </c:pt>
                <c:pt idx="3">
                  <c:v>63.88800000000002</c:v>
                </c:pt>
                <c:pt idx="4">
                  <c:v>70.27680000000002</c:v>
                </c:pt>
                <c:pt idx="5">
                  <c:v>75.89894400000003</c:v>
                </c:pt>
                <c:pt idx="6">
                  <c:v>81.97085952000003</c:v>
                </c:pt>
                <c:pt idx="7">
                  <c:v>88.52852828160004</c:v>
                </c:pt>
                <c:pt idx="8">
                  <c:v>95.61081054412805</c:v>
                </c:pt>
                <c:pt idx="9">
                  <c:v>103.2596753876583</c:v>
                </c:pt>
                <c:pt idx="10">
                  <c:v>111.520449418671</c:v>
                </c:pt>
                <c:pt idx="11">
                  <c:v>120.4420853721647</c:v>
                </c:pt>
                <c:pt idx="12">
                  <c:v>130.0774522019379</c:v>
                </c:pt>
                <c:pt idx="13">
                  <c:v>140.483648378093</c:v>
                </c:pt>
                <c:pt idx="14">
                  <c:v>151.7223402483403</c:v>
                </c:pt>
              </c:numCache>
            </c:numRef>
          </c:val>
        </c:ser>
        <c:ser>
          <c:idx val="1"/>
          <c:order val="1"/>
          <c:tx>
            <c:strRef>
              <c:f>'Tax revenue emiss Fig 2 and 4'!$B$23</c:f>
              <c:strCache>
                <c:ptCount val="1"/>
                <c:pt idx="0">
                  <c:v>Medium</c:v>
                </c:pt>
              </c:strCache>
            </c:strRef>
          </c:tx>
          <c:invertIfNegative val="0"/>
          <c:cat>
            <c:numRef>
              <c:f>'Tax revenue emiss Fig 2 and 4'!$C$21:$Q$21</c:f>
              <c:numCache>
                <c:formatCode>General</c:formatCode>
                <c:ptCount val="15"/>
                <c:pt idx="0">
                  <c:v>2016.0</c:v>
                </c:pt>
                <c:pt idx="1">
                  <c:v>2017.0</c:v>
                </c:pt>
                <c:pt idx="2">
                  <c:v>2018.0</c:v>
                </c:pt>
                <c:pt idx="3">
                  <c:v>2019.0</c:v>
                </c:pt>
                <c:pt idx="4">
                  <c:v>2020.0</c:v>
                </c:pt>
                <c:pt idx="5">
                  <c:v>2021.0</c:v>
                </c:pt>
                <c:pt idx="6">
                  <c:v>2022.0</c:v>
                </c:pt>
                <c:pt idx="7">
                  <c:v>2023.0</c:v>
                </c:pt>
                <c:pt idx="8">
                  <c:v>2024.0</c:v>
                </c:pt>
                <c:pt idx="9">
                  <c:v>2025.0</c:v>
                </c:pt>
                <c:pt idx="10">
                  <c:v>2026.0</c:v>
                </c:pt>
                <c:pt idx="11">
                  <c:v>2027.0</c:v>
                </c:pt>
                <c:pt idx="12">
                  <c:v>2028.0</c:v>
                </c:pt>
                <c:pt idx="13">
                  <c:v>2029.0</c:v>
                </c:pt>
                <c:pt idx="14">
                  <c:v>2030.0</c:v>
                </c:pt>
              </c:numCache>
            </c:numRef>
          </c:cat>
          <c:val>
            <c:numRef>
              <c:f>'Tax revenue emiss Fig 2 and 4'!$C$23:$Q$23</c:f>
              <c:numCache>
                <c:formatCode>_-"R"* #,##0_-;\-"R"* #,##0_-;_-"R"* "-"??_-;_-@_-</c:formatCode>
                <c:ptCount val="15"/>
                <c:pt idx="0">
                  <c:v>30.0</c:v>
                </c:pt>
                <c:pt idx="1">
                  <c:v>33.0</c:v>
                </c:pt>
                <c:pt idx="2">
                  <c:v>36.3</c:v>
                </c:pt>
                <c:pt idx="3">
                  <c:v>39.93000000000001</c:v>
                </c:pt>
                <c:pt idx="4">
                  <c:v>43.92300000000001</c:v>
                </c:pt>
                <c:pt idx="5">
                  <c:v>47.43684000000001</c:v>
                </c:pt>
                <c:pt idx="6">
                  <c:v>51.23178720000001</c:v>
                </c:pt>
                <c:pt idx="7">
                  <c:v>55.33033017600002</c:v>
                </c:pt>
                <c:pt idx="8">
                  <c:v>59.75675659008002</c:v>
                </c:pt>
                <c:pt idx="9">
                  <c:v>64.53729711728643</c:v>
                </c:pt>
                <c:pt idx="10">
                  <c:v>69.70028088666935</c:v>
                </c:pt>
                <c:pt idx="11">
                  <c:v>75.2763033576029</c:v>
                </c:pt>
                <c:pt idx="12">
                  <c:v>81.29840762621113</c:v>
                </c:pt>
                <c:pt idx="13">
                  <c:v>87.80228023630802</c:v>
                </c:pt>
                <c:pt idx="14">
                  <c:v>94.82646265521266</c:v>
                </c:pt>
              </c:numCache>
            </c:numRef>
          </c:val>
        </c:ser>
        <c:ser>
          <c:idx val="2"/>
          <c:order val="2"/>
          <c:tx>
            <c:strRef>
              <c:f>'Tax revenue emiss Fig 2 and 4'!$B$24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cat>
            <c:numRef>
              <c:f>'Tax revenue emiss Fig 2 and 4'!$C$21:$Q$21</c:f>
              <c:numCache>
                <c:formatCode>General</c:formatCode>
                <c:ptCount val="15"/>
                <c:pt idx="0">
                  <c:v>2016.0</c:v>
                </c:pt>
                <c:pt idx="1">
                  <c:v>2017.0</c:v>
                </c:pt>
                <c:pt idx="2">
                  <c:v>2018.0</c:v>
                </c:pt>
                <c:pt idx="3">
                  <c:v>2019.0</c:v>
                </c:pt>
                <c:pt idx="4">
                  <c:v>2020.0</c:v>
                </c:pt>
                <c:pt idx="5">
                  <c:v>2021.0</c:v>
                </c:pt>
                <c:pt idx="6">
                  <c:v>2022.0</c:v>
                </c:pt>
                <c:pt idx="7">
                  <c:v>2023.0</c:v>
                </c:pt>
                <c:pt idx="8">
                  <c:v>2024.0</c:v>
                </c:pt>
                <c:pt idx="9">
                  <c:v>2025.0</c:v>
                </c:pt>
                <c:pt idx="10">
                  <c:v>2026.0</c:v>
                </c:pt>
                <c:pt idx="11">
                  <c:v>2027.0</c:v>
                </c:pt>
                <c:pt idx="12">
                  <c:v>2028.0</c:v>
                </c:pt>
                <c:pt idx="13">
                  <c:v>2029.0</c:v>
                </c:pt>
                <c:pt idx="14">
                  <c:v>2030.0</c:v>
                </c:pt>
              </c:numCache>
            </c:numRef>
          </c:cat>
          <c:val>
            <c:numRef>
              <c:f>'Tax revenue emiss Fig 2 and 4'!$C$24:$Q$24</c:f>
              <c:numCache>
                <c:formatCode>_-"R"* #,##0_-;\-"R"* #,##0_-;_-"R"* "-"??_-;_-@_-</c:formatCode>
                <c:ptCount val="15"/>
                <c:pt idx="0">
                  <c:v>12</c:v>
                </c:pt>
                <c:pt idx="1">
                  <c:v>13.2</c:v>
                </c:pt>
                <c:pt idx="2">
                  <c:v>14.52</c:v>
                </c:pt>
                <c:pt idx="3">
                  <c:v>15.972</c:v>
                </c:pt>
                <c:pt idx="4">
                  <c:v>17.5692</c:v>
                </c:pt>
                <c:pt idx="5">
                  <c:v>18.974736</c:v>
                </c:pt>
                <c:pt idx="6">
                  <c:v>20.49271488</c:v>
                </c:pt>
                <c:pt idx="7">
                  <c:v>22.13213207040001</c:v>
                </c:pt>
                <c:pt idx="8">
                  <c:v>23.90270263603201</c:v>
                </c:pt>
                <c:pt idx="9">
                  <c:v>25.81491884691457</c:v>
                </c:pt>
                <c:pt idx="10">
                  <c:v>27.88011235466774</c:v>
                </c:pt>
                <c:pt idx="11">
                  <c:v>30.11052134304116</c:v>
                </c:pt>
                <c:pt idx="12">
                  <c:v>32.51936305048446</c:v>
                </c:pt>
                <c:pt idx="13">
                  <c:v>35.12091209452322</c:v>
                </c:pt>
                <c:pt idx="14">
                  <c:v>37.93058506208508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06216480"/>
        <c:axId val="-1709171552"/>
      </c:barChart>
      <c:catAx>
        <c:axId val="-170621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709171552"/>
        <c:crosses val="autoZero"/>
        <c:auto val="1"/>
        <c:lblAlgn val="ctr"/>
        <c:lblOffset val="100"/>
        <c:noMultiLvlLbl val="0"/>
      </c:catAx>
      <c:valAx>
        <c:axId val="-17091715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 / t</a:t>
                </a:r>
                <a:r>
                  <a:rPr lang="en-US" baseline="0"/>
                  <a:t> CO2e</a:t>
                </a:r>
                <a:endParaRPr lang="en-US"/>
              </a:p>
            </c:rich>
          </c:tx>
          <c:layout/>
          <c:overlay val="0"/>
        </c:title>
        <c:numFmt formatCode="_-&quot;R&quot;* #,##0_-;\-&quot;R&quot;* #,##0_-;_-&quot;R&quot;* &quot;-&quot;??_-;_-@_-" sourceLinked="1"/>
        <c:majorTickMark val="out"/>
        <c:minorTickMark val="none"/>
        <c:tickLblPos val="nextTo"/>
        <c:crossAx val="-1706216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'MPA Fig3'!$B$12</c:f>
              <c:strCache>
                <c:ptCount val="1"/>
                <c:pt idx="0">
                  <c:v> With Existing Measures 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'MPA Fig3'!$C$11:$W$11</c:f>
              <c:numCache>
                <c:formatCode>0</c:formatCode>
                <c:ptCount val="21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  <c:pt idx="8">
                  <c:v>2018.0</c:v>
                </c:pt>
                <c:pt idx="9">
                  <c:v>2019.0</c:v>
                </c:pt>
                <c:pt idx="10">
                  <c:v>2020.0</c:v>
                </c:pt>
                <c:pt idx="11">
                  <c:v>2021.0</c:v>
                </c:pt>
                <c:pt idx="12">
                  <c:v>2022.0</c:v>
                </c:pt>
                <c:pt idx="13">
                  <c:v>2023.0</c:v>
                </c:pt>
                <c:pt idx="14">
                  <c:v>2024.0</c:v>
                </c:pt>
                <c:pt idx="15">
                  <c:v>2025.0</c:v>
                </c:pt>
                <c:pt idx="16">
                  <c:v>2026.0</c:v>
                </c:pt>
                <c:pt idx="17">
                  <c:v>2027.0</c:v>
                </c:pt>
                <c:pt idx="18">
                  <c:v>2028.0</c:v>
                </c:pt>
                <c:pt idx="19">
                  <c:v>2029.0</c:v>
                </c:pt>
                <c:pt idx="20">
                  <c:v>2030.0</c:v>
                </c:pt>
              </c:numCache>
            </c:numRef>
          </c:cat>
          <c:val>
            <c:numRef>
              <c:f>'MPA Fig3'!$C$12:$W$12</c:f>
              <c:numCache>
                <c:formatCode>_-* #,##0_-;\-* #,##0_-;_-* "-"??_-;_-@_-</c:formatCode>
                <c:ptCount val="21"/>
                <c:pt idx="0">
                  <c:v>397.2537058046132</c:v>
                </c:pt>
                <c:pt idx="1">
                  <c:v>405.9391002911821</c:v>
                </c:pt>
                <c:pt idx="2">
                  <c:v>414.624494777751</c:v>
                </c:pt>
                <c:pt idx="3">
                  <c:v>423.30988926432</c:v>
                </c:pt>
                <c:pt idx="4">
                  <c:v>431.9952837508889</c:v>
                </c:pt>
                <c:pt idx="5">
                  <c:v>440.6806782374576</c:v>
                </c:pt>
                <c:pt idx="6">
                  <c:v>452.0349772964329</c:v>
                </c:pt>
                <c:pt idx="7">
                  <c:v>463.3892763554082</c:v>
                </c:pt>
                <c:pt idx="8">
                  <c:v>474.7435754143835</c:v>
                </c:pt>
                <c:pt idx="9">
                  <c:v>486.0978744733588</c:v>
                </c:pt>
                <c:pt idx="10">
                  <c:v>497.4521735323343</c:v>
                </c:pt>
                <c:pt idx="11">
                  <c:v>507.6813105389948</c:v>
                </c:pt>
                <c:pt idx="12">
                  <c:v>517.9104475456553</c:v>
                </c:pt>
                <c:pt idx="13">
                  <c:v>528.139584552316</c:v>
                </c:pt>
                <c:pt idx="14">
                  <c:v>538.3687215589764</c:v>
                </c:pt>
                <c:pt idx="15">
                  <c:v>548.5978585656367</c:v>
                </c:pt>
                <c:pt idx="16">
                  <c:v>567.5400702399501</c:v>
                </c:pt>
                <c:pt idx="17">
                  <c:v>586.4822819142635</c:v>
                </c:pt>
                <c:pt idx="18">
                  <c:v>605.4244935885768</c:v>
                </c:pt>
                <c:pt idx="19">
                  <c:v>624.3667052628901</c:v>
                </c:pt>
                <c:pt idx="20">
                  <c:v>643.3089169372035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'MPA Fig3'!$B$13</c:f>
              <c:strCache>
                <c:ptCount val="1"/>
                <c:pt idx="0">
                  <c:v> With Additional Measures </c:v>
                </c:pt>
              </c:strCache>
            </c:strRef>
          </c:tx>
          <c:marker>
            <c:symbol val="none"/>
          </c:marker>
          <c:cat>
            <c:numRef>
              <c:f>'MPA Fig3'!$C$11:$W$11</c:f>
              <c:numCache>
                <c:formatCode>0</c:formatCode>
                <c:ptCount val="21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  <c:pt idx="8">
                  <c:v>2018.0</c:v>
                </c:pt>
                <c:pt idx="9">
                  <c:v>2019.0</c:v>
                </c:pt>
                <c:pt idx="10">
                  <c:v>2020.0</c:v>
                </c:pt>
                <c:pt idx="11">
                  <c:v>2021.0</c:v>
                </c:pt>
                <c:pt idx="12">
                  <c:v>2022.0</c:v>
                </c:pt>
                <c:pt idx="13">
                  <c:v>2023.0</c:v>
                </c:pt>
                <c:pt idx="14">
                  <c:v>2024.0</c:v>
                </c:pt>
                <c:pt idx="15">
                  <c:v>2025.0</c:v>
                </c:pt>
                <c:pt idx="16">
                  <c:v>2026.0</c:v>
                </c:pt>
                <c:pt idx="17">
                  <c:v>2027.0</c:v>
                </c:pt>
                <c:pt idx="18">
                  <c:v>2028.0</c:v>
                </c:pt>
                <c:pt idx="19">
                  <c:v>2029.0</c:v>
                </c:pt>
                <c:pt idx="20">
                  <c:v>2030.0</c:v>
                </c:pt>
              </c:numCache>
            </c:numRef>
          </c:cat>
          <c:val>
            <c:numRef>
              <c:f>'MPA Fig3'!$C$13:$W$13</c:f>
              <c:numCache>
                <c:formatCode>_-* #,##0_-;\-* #,##0_-;_-* "-"??_-;_-@_-</c:formatCode>
                <c:ptCount val="21"/>
                <c:pt idx="0">
                  <c:v>389.8640185974407</c:v>
                </c:pt>
                <c:pt idx="1">
                  <c:v>393.4777466636417</c:v>
                </c:pt>
                <c:pt idx="2">
                  <c:v>397.0914747298428</c:v>
                </c:pt>
                <c:pt idx="3">
                  <c:v>400.7052027960439</c:v>
                </c:pt>
                <c:pt idx="4">
                  <c:v>404.3189308622449</c:v>
                </c:pt>
                <c:pt idx="5">
                  <c:v>407.9326589284459</c:v>
                </c:pt>
                <c:pt idx="6">
                  <c:v>410.8151264573105</c:v>
                </c:pt>
                <c:pt idx="7">
                  <c:v>413.6975939861751</c:v>
                </c:pt>
                <c:pt idx="8">
                  <c:v>416.5800615150396</c:v>
                </c:pt>
                <c:pt idx="9">
                  <c:v>419.4625290439042</c:v>
                </c:pt>
                <c:pt idx="10">
                  <c:v>422.3449965727687</c:v>
                </c:pt>
                <c:pt idx="11">
                  <c:v>418.9180481257063</c:v>
                </c:pt>
                <c:pt idx="12">
                  <c:v>415.4910996786439</c:v>
                </c:pt>
                <c:pt idx="13">
                  <c:v>412.0641512315814</c:v>
                </c:pt>
                <c:pt idx="14">
                  <c:v>408.637202784519</c:v>
                </c:pt>
                <c:pt idx="15">
                  <c:v>405.2102543374567</c:v>
                </c:pt>
                <c:pt idx="16">
                  <c:v>401.8282201837406</c:v>
                </c:pt>
                <c:pt idx="17">
                  <c:v>398.4461860300246</c:v>
                </c:pt>
                <c:pt idx="18">
                  <c:v>395.0641518763086</c:v>
                </c:pt>
                <c:pt idx="19">
                  <c:v>391.6821177225926</c:v>
                </c:pt>
                <c:pt idx="20">
                  <c:v>388.3000835688764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9522576"/>
        <c:axId val="-1704089600"/>
      </c:lineChart>
      <c:catAx>
        <c:axId val="-16995225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-1704089600"/>
        <c:crosses val="autoZero"/>
        <c:auto val="1"/>
        <c:lblAlgn val="ctr"/>
        <c:lblOffset val="100"/>
        <c:noMultiLvlLbl val="0"/>
      </c:catAx>
      <c:valAx>
        <c:axId val="-1704089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Mt CO2e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-16995225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'Sust housing Fig 5'!$A$27</c:f>
              <c:strCache>
                <c:ptCount val="1"/>
                <c:pt idx="0">
                  <c:v>With historical build rate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'Sust housing Fig 5'!$B$26:$P$26</c:f>
              <c:numCache>
                <c:formatCode>General</c:formatCode>
                <c:ptCount val="15"/>
                <c:pt idx="0">
                  <c:v>2016.0</c:v>
                </c:pt>
                <c:pt idx="1">
                  <c:v>2017.0</c:v>
                </c:pt>
                <c:pt idx="2">
                  <c:v>2018.0</c:v>
                </c:pt>
                <c:pt idx="3">
                  <c:v>2019.0</c:v>
                </c:pt>
                <c:pt idx="4">
                  <c:v>2020.0</c:v>
                </c:pt>
                <c:pt idx="5">
                  <c:v>2021.0</c:v>
                </c:pt>
                <c:pt idx="6">
                  <c:v>2022.0</c:v>
                </c:pt>
                <c:pt idx="7">
                  <c:v>2023.0</c:v>
                </c:pt>
                <c:pt idx="8">
                  <c:v>2024.0</c:v>
                </c:pt>
                <c:pt idx="9">
                  <c:v>2025.0</c:v>
                </c:pt>
                <c:pt idx="10">
                  <c:v>2026.0</c:v>
                </c:pt>
                <c:pt idx="11">
                  <c:v>2027.0</c:v>
                </c:pt>
                <c:pt idx="12">
                  <c:v>2028.0</c:v>
                </c:pt>
                <c:pt idx="13">
                  <c:v>2029.0</c:v>
                </c:pt>
                <c:pt idx="14">
                  <c:v>2030.0</c:v>
                </c:pt>
              </c:numCache>
            </c:numRef>
          </c:cat>
          <c:val>
            <c:numRef>
              <c:f>'Sust housing Fig 5'!$B$27:$P$27</c:f>
              <c:numCache>
                <c:formatCode>General</c:formatCode>
                <c:ptCount val="15"/>
                <c:pt idx="0">
                  <c:v>30.0</c:v>
                </c:pt>
                <c:pt idx="1">
                  <c:v>30.942</c:v>
                </c:pt>
                <c:pt idx="2">
                  <c:v>29.48400000000001</c:v>
                </c:pt>
                <c:pt idx="3">
                  <c:v>28.026</c:v>
                </c:pt>
                <c:pt idx="4">
                  <c:v>26.568</c:v>
                </c:pt>
                <c:pt idx="5">
                  <c:v>25.11</c:v>
                </c:pt>
                <c:pt idx="6">
                  <c:v>23.652</c:v>
                </c:pt>
                <c:pt idx="7">
                  <c:v>22.194</c:v>
                </c:pt>
                <c:pt idx="8">
                  <c:v>20.736</c:v>
                </c:pt>
                <c:pt idx="9">
                  <c:v>19.278</c:v>
                </c:pt>
                <c:pt idx="10">
                  <c:v>17.82</c:v>
                </c:pt>
                <c:pt idx="11">
                  <c:v>16.362</c:v>
                </c:pt>
                <c:pt idx="12">
                  <c:v>14.904</c:v>
                </c:pt>
                <c:pt idx="13">
                  <c:v>13.446</c:v>
                </c:pt>
                <c:pt idx="14">
                  <c:v>11.988</c:v>
                </c:pt>
              </c:numCache>
            </c:numRef>
          </c:val>
        </c:ser>
        <c:ser>
          <c:idx val="1"/>
          <c:order val="1"/>
          <c:tx>
            <c:strRef>
              <c:f>'Sust housing Fig 5'!$A$28</c:f>
              <c:strCache>
                <c:ptCount val="1"/>
                <c:pt idx="0">
                  <c:v>With pessimistic build 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'Sust housing Fig 5'!$B$26:$P$26</c:f>
              <c:numCache>
                <c:formatCode>General</c:formatCode>
                <c:ptCount val="15"/>
                <c:pt idx="0">
                  <c:v>2016.0</c:v>
                </c:pt>
                <c:pt idx="1">
                  <c:v>2017.0</c:v>
                </c:pt>
                <c:pt idx="2">
                  <c:v>2018.0</c:v>
                </c:pt>
                <c:pt idx="3">
                  <c:v>2019.0</c:v>
                </c:pt>
                <c:pt idx="4">
                  <c:v>2020.0</c:v>
                </c:pt>
                <c:pt idx="5">
                  <c:v>2021.0</c:v>
                </c:pt>
                <c:pt idx="6">
                  <c:v>2022.0</c:v>
                </c:pt>
                <c:pt idx="7">
                  <c:v>2023.0</c:v>
                </c:pt>
                <c:pt idx="8">
                  <c:v>2024.0</c:v>
                </c:pt>
                <c:pt idx="9">
                  <c:v>2025.0</c:v>
                </c:pt>
                <c:pt idx="10">
                  <c:v>2026.0</c:v>
                </c:pt>
                <c:pt idx="11">
                  <c:v>2027.0</c:v>
                </c:pt>
                <c:pt idx="12">
                  <c:v>2028.0</c:v>
                </c:pt>
                <c:pt idx="13">
                  <c:v>2029.0</c:v>
                </c:pt>
                <c:pt idx="14">
                  <c:v>2030.0</c:v>
                </c:pt>
              </c:numCache>
            </c:numRef>
          </c:cat>
          <c:val>
            <c:numRef>
              <c:f>'Sust housing Fig 5'!$B$28:$P$28</c:f>
              <c:numCache>
                <c:formatCode>General</c:formatCode>
                <c:ptCount val="15"/>
                <c:pt idx="0">
                  <c:v>30.0</c:v>
                </c:pt>
                <c:pt idx="1">
                  <c:v>31.752</c:v>
                </c:pt>
                <c:pt idx="2">
                  <c:v>31.104</c:v>
                </c:pt>
                <c:pt idx="3">
                  <c:v>30.456</c:v>
                </c:pt>
                <c:pt idx="4">
                  <c:v>29.808</c:v>
                </c:pt>
                <c:pt idx="5">
                  <c:v>29.16</c:v>
                </c:pt>
                <c:pt idx="6">
                  <c:v>28.512</c:v>
                </c:pt>
                <c:pt idx="7">
                  <c:v>27.864</c:v>
                </c:pt>
                <c:pt idx="8">
                  <c:v>27.216</c:v>
                </c:pt>
                <c:pt idx="9">
                  <c:v>26.568</c:v>
                </c:pt>
                <c:pt idx="10">
                  <c:v>25.92000000000001</c:v>
                </c:pt>
                <c:pt idx="11">
                  <c:v>25.27200000000001</c:v>
                </c:pt>
                <c:pt idx="12">
                  <c:v>24.624</c:v>
                </c:pt>
                <c:pt idx="13">
                  <c:v>23.976</c:v>
                </c:pt>
                <c:pt idx="14">
                  <c:v>23.328</c:v>
                </c:pt>
              </c:numCache>
            </c:numRef>
          </c:val>
        </c:ser>
        <c:ser>
          <c:idx val="2"/>
          <c:order val="2"/>
          <c:tx>
            <c:strRef>
              <c:f>'Sust housing Fig 5'!$A$29</c:f>
              <c:strCache>
                <c:ptCount val="1"/>
                <c:pt idx="0">
                  <c:v>With optimistic build rate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'Sust housing Fig 5'!$B$26:$P$26</c:f>
              <c:numCache>
                <c:formatCode>General</c:formatCode>
                <c:ptCount val="15"/>
                <c:pt idx="0">
                  <c:v>2016.0</c:v>
                </c:pt>
                <c:pt idx="1">
                  <c:v>2017.0</c:v>
                </c:pt>
                <c:pt idx="2">
                  <c:v>2018.0</c:v>
                </c:pt>
                <c:pt idx="3">
                  <c:v>2019.0</c:v>
                </c:pt>
                <c:pt idx="4">
                  <c:v>2020.0</c:v>
                </c:pt>
                <c:pt idx="5">
                  <c:v>2021.0</c:v>
                </c:pt>
                <c:pt idx="6">
                  <c:v>2022.0</c:v>
                </c:pt>
                <c:pt idx="7">
                  <c:v>2023.0</c:v>
                </c:pt>
                <c:pt idx="8">
                  <c:v>2024.0</c:v>
                </c:pt>
                <c:pt idx="9">
                  <c:v>2025.0</c:v>
                </c:pt>
                <c:pt idx="10">
                  <c:v>2026.0</c:v>
                </c:pt>
                <c:pt idx="11">
                  <c:v>2027.0</c:v>
                </c:pt>
                <c:pt idx="12">
                  <c:v>2028.0</c:v>
                </c:pt>
                <c:pt idx="13">
                  <c:v>2029.0</c:v>
                </c:pt>
                <c:pt idx="14">
                  <c:v>2030.0</c:v>
                </c:pt>
              </c:numCache>
            </c:numRef>
          </c:cat>
          <c:val>
            <c:numRef>
              <c:f>'Sust housing Fig 5'!$B$29:$P$29</c:f>
              <c:numCache>
                <c:formatCode>General</c:formatCode>
                <c:ptCount val="15"/>
                <c:pt idx="0">
                  <c:v>30.0</c:v>
                </c:pt>
                <c:pt idx="1">
                  <c:v>29.97</c:v>
                </c:pt>
                <c:pt idx="2">
                  <c:v>27.54</c:v>
                </c:pt>
                <c:pt idx="3">
                  <c:v>25.11</c:v>
                </c:pt>
                <c:pt idx="4">
                  <c:v>22.68</c:v>
                </c:pt>
                <c:pt idx="5">
                  <c:v>20.25</c:v>
                </c:pt>
                <c:pt idx="6">
                  <c:v>17.82</c:v>
                </c:pt>
                <c:pt idx="7">
                  <c:v>15.39</c:v>
                </c:pt>
                <c:pt idx="8">
                  <c:v>12.96</c:v>
                </c:pt>
                <c:pt idx="9">
                  <c:v>10.53</c:v>
                </c:pt>
                <c:pt idx="10">
                  <c:v>8.100000000000001</c:v>
                </c:pt>
                <c:pt idx="11">
                  <c:v>5.670000000000001</c:v>
                </c:pt>
                <c:pt idx="12">
                  <c:v>3.240000000000001</c:v>
                </c:pt>
                <c:pt idx="13">
                  <c:v>0.81</c:v>
                </c:pt>
                <c:pt idx="14">
                  <c:v>-1.62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9503856"/>
        <c:axId val="-1707149856"/>
      </c:barChart>
      <c:catAx>
        <c:axId val="-169950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07149856"/>
        <c:crosses val="autoZero"/>
        <c:auto val="1"/>
        <c:lblAlgn val="ctr"/>
        <c:lblOffset val="100"/>
        <c:noMultiLvlLbl val="0"/>
      </c:catAx>
      <c:valAx>
        <c:axId val="-170714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REvenue required (R</a:t>
                </a:r>
                <a:r>
                  <a:rPr lang="en-US" baseline="0"/>
                  <a:t> billion)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9950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'Match rev and exp Fig 6'!$B$13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'Match rev and exp Fig 6'!$C$12:$Q$12</c:f>
              <c:numCache>
                <c:formatCode>General</c:formatCode>
                <c:ptCount val="15"/>
                <c:pt idx="0">
                  <c:v>2016.0</c:v>
                </c:pt>
                <c:pt idx="1">
                  <c:v>2017.0</c:v>
                </c:pt>
                <c:pt idx="2">
                  <c:v>2018.0</c:v>
                </c:pt>
                <c:pt idx="3">
                  <c:v>2019.0</c:v>
                </c:pt>
                <c:pt idx="4">
                  <c:v>2020.0</c:v>
                </c:pt>
                <c:pt idx="5">
                  <c:v>2021.0</c:v>
                </c:pt>
                <c:pt idx="6">
                  <c:v>2022.0</c:v>
                </c:pt>
                <c:pt idx="7">
                  <c:v>2023.0</c:v>
                </c:pt>
                <c:pt idx="8">
                  <c:v>2024.0</c:v>
                </c:pt>
                <c:pt idx="9">
                  <c:v>2025.0</c:v>
                </c:pt>
                <c:pt idx="10">
                  <c:v>2026.0</c:v>
                </c:pt>
                <c:pt idx="11">
                  <c:v>2027.0</c:v>
                </c:pt>
                <c:pt idx="12">
                  <c:v>2028.0</c:v>
                </c:pt>
                <c:pt idx="13">
                  <c:v>2029.0</c:v>
                </c:pt>
                <c:pt idx="14">
                  <c:v>2030.0</c:v>
                </c:pt>
              </c:numCache>
            </c:numRef>
          </c:cat>
          <c:val>
            <c:numRef>
              <c:f>'Match rev and exp Fig 6'!$C$13:$Q$13</c:f>
              <c:numCache>
                <c:formatCode>_-* #,##0.0_-;\-* #,##0.0_-;_-* "-"??_-;_-@_-</c:formatCode>
                <c:ptCount val="15"/>
                <c:pt idx="0">
                  <c:v>5.583</c:v>
                </c:pt>
                <c:pt idx="1">
                  <c:v>6.184</c:v>
                </c:pt>
                <c:pt idx="2">
                  <c:v>6.432</c:v>
                </c:pt>
                <c:pt idx="3">
                  <c:v>7.792</c:v>
                </c:pt>
                <c:pt idx="4">
                  <c:v>8.41536</c:v>
                </c:pt>
                <c:pt idx="5">
                  <c:v>9.088588800000001</c:v>
                </c:pt>
                <c:pt idx="6">
                  <c:v>9.815675904</c:v>
                </c:pt>
                <c:pt idx="7">
                  <c:v>10.60092997632</c:v>
                </c:pt>
                <c:pt idx="8">
                  <c:v>11.4490043744256</c:v>
                </c:pt>
                <c:pt idx="9">
                  <c:v>12.36492472437965</c:v>
                </c:pt>
                <c:pt idx="10">
                  <c:v>13.35411870233002</c:v>
                </c:pt>
                <c:pt idx="11">
                  <c:v>14.42244819851643</c:v>
                </c:pt>
                <c:pt idx="12">
                  <c:v>15.57624405439774</c:v>
                </c:pt>
                <c:pt idx="13">
                  <c:v>16.82234357874956</c:v>
                </c:pt>
                <c:pt idx="14">
                  <c:v>18.16813106504953</c:v>
                </c:pt>
              </c:numCache>
            </c:numRef>
          </c:val>
        </c:ser>
        <c:ser>
          <c:idx val="1"/>
          <c:order val="1"/>
          <c:tx>
            <c:strRef>
              <c:f>'Match rev and exp Fig 6'!$B$14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'Match rev and exp Fig 6'!$C$12:$Q$12</c:f>
              <c:numCache>
                <c:formatCode>General</c:formatCode>
                <c:ptCount val="15"/>
                <c:pt idx="0">
                  <c:v>2016.0</c:v>
                </c:pt>
                <c:pt idx="1">
                  <c:v>2017.0</c:v>
                </c:pt>
                <c:pt idx="2">
                  <c:v>2018.0</c:v>
                </c:pt>
                <c:pt idx="3">
                  <c:v>2019.0</c:v>
                </c:pt>
                <c:pt idx="4">
                  <c:v>2020.0</c:v>
                </c:pt>
                <c:pt idx="5">
                  <c:v>2021.0</c:v>
                </c:pt>
                <c:pt idx="6">
                  <c:v>2022.0</c:v>
                </c:pt>
                <c:pt idx="7">
                  <c:v>2023.0</c:v>
                </c:pt>
                <c:pt idx="8">
                  <c:v>2024.0</c:v>
                </c:pt>
                <c:pt idx="9">
                  <c:v>2025.0</c:v>
                </c:pt>
                <c:pt idx="10">
                  <c:v>2026.0</c:v>
                </c:pt>
                <c:pt idx="11">
                  <c:v>2027.0</c:v>
                </c:pt>
                <c:pt idx="12">
                  <c:v>2028.0</c:v>
                </c:pt>
                <c:pt idx="13">
                  <c:v>2029.0</c:v>
                </c:pt>
                <c:pt idx="14">
                  <c:v>2030.0</c:v>
                </c:pt>
              </c:numCache>
            </c:numRef>
          </c:cat>
          <c:val>
            <c:numRef>
              <c:f>'Match rev and exp Fig 6'!$C$14:$Q$14</c:f>
              <c:numCache>
                <c:formatCode>_-* #,##0.0_-;\-* #,##0.0_-;_-* "-"??_-;_-@_-</c:formatCode>
                <c:ptCount val="15"/>
                <c:pt idx="0">
                  <c:v>1.335766666666667</c:v>
                </c:pt>
                <c:pt idx="1">
                  <c:v>1.442628</c:v>
                </c:pt>
                <c:pt idx="2">
                  <c:v>1.55803824</c:v>
                </c:pt>
                <c:pt idx="3">
                  <c:v>1.6826812992</c:v>
                </c:pt>
                <c:pt idx="4">
                  <c:v>1.817295803136</c:v>
                </c:pt>
                <c:pt idx="5">
                  <c:v>1.962679467386881</c:v>
                </c:pt>
                <c:pt idx="6">
                  <c:v>2.119693824777831</c:v>
                </c:pt>
                <c:pt idx="7">
                  <c:v>2.289269330760058</c:v>
                </c:pt>
                <c:pt idx="8">
                  <c:v>2.472410877220863</c:v>
                </c:pt>
                <c:pt idx="9">
                  <c:v>2.670203747398532</c:v>
                </c:pt>
                <c:pt idx="10">
                  <c:v>2.883820047190414</c:v>
                </c:pt>
                <c:pt idx="11">
                  <c:v>3.114525650965648</c:v>
                </c:pt>
                <c:pt idx="12">
                  <c:v>3.3636877030429</c:v>
                </c:pt>
                <c:pt idx="13">
                  <c:v>3.632782719286332</c:v>
                </c:pt>
                <c:pt idx="14">
                  <c:v>3.923405336829239</c:v>
                </c:pt>
              </c:numCache>
            </c:numRef>
          </c:val>
        </c:ser>
        <c:ser>
          <c:idx val="2"/>
          <c:order val="2"/>
          <c:tx>
            <c:strRef>
              <c:f>'Match rev and exp Fig 6'!$B$15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'Match rev and exp Fig 6'!$C$12:$Q$12</c:f>
              <c:numCache>
                <c:formatCode>General</c:formatCode>
                <c:ptCount val="15"/>
                <c:pt idx="0">
                  <c:v>2016.0</c:v>
                </c:pt>
                <c:pt idx="1">
                  <c:v>2017.0</c:v>
                </c:pt>
                <c:pt idx="2">
                  <c:v>2018.0</c:v>
                </c:pt>
                <c:pt idx="3">
                  <c:v>2019.0</c:v>
                </c:pt>
                <c:pt idx="4">
                  <c:v>2020.0</c:v>
                </c:pt>
                <c:pt idx="5">
                  <c:v>2021.0</c:v>
                </c:pt>
                <c:pt idx="6">
                  <c:v>2022.0</c:v>
                </c:pt>
                <c:pt idx="7">
                  <c:v>2023.0</c:v>
                </c:pt>
                <c:pt idx="8">
                  <c:v>2024.0</c:v>
                </c:pt>
                <c:pt idx="9">
                  <c:v>2025.0</c:v>
                </c:pt>
                <c:pt idx="10">
                  <c:v>2026.0</c:v>
                </c:pt>
                <c:pt idx="11">
                  <c:v>2027.0</c:v>
                </c:pt>
                <c:pt idx="12">
                  <c:v>2028.0</c:v>
                </c:pt>
                <c:pt idx="13">
                  <c:v>2029.0</c:v>
                </c:pt>
                <c:pt idx="14">
                  <c:v>2030.0</c:v>
                </c:pt>
              </c:numCache>
            </c:numRef>
          </c:cat>
          <c:val>
            <c:numRef>
              <c:f>'Match rev and exp Fig 6'!$C$15:$Q$15</c:f>
              <c:numCache>
                <c:formatCode>_-* #,##0.0_-;\-* #,##0.0_-;_-* "-"??_-;_-@_-</c:formatCode>
                <c:ptCount val="15"/>
                <c:pt idx="0">
                  <c:v>30.0</c:v>
                </c:pt>
                <c:pt idx="1">
                  <c:v>29.97</c:v>
                </c:pt>
                <c:pt idx="2">
                  <c:v>27.54</c:v>
                </c:pt>
                <c:pt idx="3">
                  <c:v>25.11</c:v>
                </c:pt>
                <c:pt idx="4">
                  <c:v>22.68</c:v>
                </c:pt>
                <c:pt idx="5">
                  <c:v>20.25</c:v>
                </c:pt>
                <c:pt idx="6">
                  <c:v>17.82</c:v>
                </c:pt>
                <c:pt idx="7">
                  <c:v>15.39</c:v>
                </c:pt>
                <c:pt idx="8">
                  <c:v>12.96</c:v>
                </c:pt>
                <c:pt idx="9">
                  <c:v>10.53</c:v>
                </c:pt>
                <c:pt idx="10">
                  <c:v>8.100000000000001</c:v>
                </c:pt>
                <c:pt idx="11">
                  <c:v>5.670000000000001</c:v>
                </c:pt>
                <c:pt idx="12">
                  <c:v>3.240000000000001</c:v>
                </c:pt>
                <c:pt idx="13">
                  <c:v>0.81</c:v>
                </c:pt>
                <c:pt idx="14">
                  <c:v>-1.62</c:v>
                </c:pt>
              </c:numCache>
            </c:numRef>
          </c:val>
        </c:ser>
        <c:ser>
          <c:idx val="3"/>
          <c:order val="3"/>
          <c:tx>
            <c:strRef>
              <c:f>'Match rev and exp Fig 6'!$B$16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'Match rev and exp Fig 6'!$C$12:$Q$12</c:f>
              <c:numCache>
                <c:formatCode>General</c:formatCode>
                <c:ptCount val="15"/>
                <c:pt idx="0">
                  <c:v>2016.0</c:v>
                </c:pt>
                <c:pt idx="1">
                  <c:v>2017.0</c:v>
                </c:pt>
                <c:pt idx="2">
                  <c:v>2018.0</c:v>
                </c:pt>
                <c:pt idx="3">
                  <c:v>2019.0</c:v>
                </c:pt>
                <c:pt idx="4">
                  <c:v>2020.0</c:v>
                </c:pt>
                <c:pt idx="5">
                  <c:v>2021.0</c:v>
                </c:pt>
                <c:pt idx="6">
                  <c:v>2022.0</c:v>
                </c:pt>
                <c:pt idx="7">
                  <c:v>2023.0</c:v>
                </c:pt>
                <c:pt idx="8">
                  <c:v>2024.0</c:v>
                </c:pt>
                <c:pt idx="9">
                  <c:v>2025.0</c:v>
                </c:pt>
                <c:pt idx="10">
                  <c:v>2026.0</c:v>
                </c:pt>
                <c:pt idx="11">
                  <c:v>2027.0</c:v>
                </c:pt>
                <c:pt idx="12">
                  <c:v>2028.0</c:v>
                </c:pt>
                <c:pt idx="13">
                  <c:v>2029.0</c:v>
                </c:pt>
                <c:pt idx="14">
                  <c:v>2030.0</c:v>
                </c:pt>
              </c:numCache>
            </c:numRef>
          </c:cat>
          <c:val>
            <c:numRef>
              <c:f>'Match rev and exp Fig 6'!$C$16:$Q$16</c:f>
              <c:numCache>
                <c:formatCode>_-* #,##0.0_-;\-* #,##0.0_-;_-* "-"??_-;_-@_-</c:formatCode>
                <c:ptCount val="15"/>
                <c:pt idx="0">
                  <c:v>3.15</c:v>
                </c:pt>
                <c:pt idx="1">
                  <c:v>3.402</c:v>
                </c:pt>
                <c:pt idx="2">
                  <c:v>3.67416</c:v>
                </c:pt>
                <c:pt idx="3">
                  <c:v>3.968092800000001</c:v>
                </c:pt>
                <c:pt idx="4">
                  <c:v>4.285540224000001</c:v>
                </c:pt>
                <c:pt idx="5">
                  <c:v>4.628383441920001</c:v>
                </c:pt>
                <c:pt idx="6">
                  <c:v>4.998654117273601</c:v>
                </c:pt>
                <c:pt idx="7">
                  <c:v>5.39854644665549</c:v>
                </c:pt>
                <c:pt idx="8">
                  <c:v>5.830430162387929</c:v>
                </c:pt>
                <c:pt idx="9">
                  <c:v>6.296864575378964</c:v>
                </c:pt>
                <c:pt idx="10">
                  <c:v>6.800613741409282</c:v>
                </c:pt>
                <c:pt idx="11">
                  <c:v>7.344662840722024</c:v>
                </c:pt>
                <c:pt idx="12">
                  <c:v>7.932235867979787</c:v>
                </c:pt>
                <c:pt idx="13">
                  <c:v>8.56681473741817</c:v>
                </c:pt>
                <c:pt idx="14">
                  <c:v>9.252159916411624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19811744"/>
        <c:axId val="-1710712752"/>
      </c:areaChart>
      <c:catAx>
        <c:axId val="-17198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10712752"/>
        <c:crosses val="autoZero"/>
        <c:auto val="1"/>
        <c:lblAlgn val="ctr"/>
        <c:lblOffset val="100"/>
        <c:noMultiLvlLbl val="0"/>
      </c:catAx>
      <c:valAx>
        <c:axId val="-171071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billion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.0_-;\-* #,##0.0_-;_-* &quot;-&quot;??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19811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482600</xdr:colOff>
      <xdr:row>45</xdr:row>
      <xdr:rowOff>120650</xdr:rowOff>
    </xdr:from>
    <xdr:to>
      <xdr:col>12</xdr:col>
      <xdr:colOff>673100</xdr:colOff>
      <xdr:row>60</xdr:row>
      <xdr:rowOff>6350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228600</xdr:colOff>
      <xdr:row>45</xdr:row>
      <xdr:rowOff>76200</xdr:rowOff>
    </xdr:from>
    <xdr:to>
      <xdr:col>7</xdr:col>
      <xdr:colOff>698500</xdr:colOff>
      <xdr:row>61</xdr:row>
      <xdr:rowOff>63500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787400</xdr:colOff>
      <xdr:row>45</xdr:row>
      <xdr:rowOff>139700</xdr:rowOff>
    </xdr:from>
    <xdr:to>
      <xdr:col>3</xdr:col>
      <xdr:colOff>304800</xdr:colOff>
      <xdr:row>60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50800</xdr:colOff>
      <xdr:row>19</xdr:row>
      <xdr:rowOff>152400</xdr:rowOff>
    </xdr:from>
    <xdr:to>
      <xdr:col>23</xdr:col>
      <xdr:colOff>495300</xdr:colOff>
      <xdr:row>34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16</xdr:row>
      <xdr:rowOff>152400</xdr:rowOff>
    </xdr:from>
    <xdr:to>
      <xdr:col>6</xdr:col>
      <xdr:colOff>323850</xdr:colOff>
      <xdr:row>31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265870</xdr:colOff>
      <xdr:row>19</xdr:row>
      <xdr:rowOff>129849</xdr:rowOff>
    </xdr:from>
    <xdr:to>
      <xdr:col>10</xdr:col>
      <xdr:colOff>683664</xdr:colOff>
      <xdr:row>33</xdr:row>
      <xdr:rowOff>48189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939800</xdr:colOff>
      <xdr:row>0</xdr:row>
      <xdr:rowOff>171450</xdr:rowOff>
    </xdr:from>
    <xdr:to>
      <xdr:col>16</xdr:col>
      <xdr:colOff>558800</xdr:colOff>
      <xdr:row>14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topLeftCell="A34" workbookViewId="0">
      <selection activeCell="I1" sqref="I1:K3"/>
    </sheetView>
  </sheetViews>
  <sheetFormatPr baseColWidth="10" defaultRowHeight="16" x14ac:dyDescent="0.2"/>
  <cols>
    <col min="1" max="1" width="10.5" customWidth="1"/>
    <col min="2" max="2" width="22.6640625" customWidth="1"/>
    <col min="3" max="3" width="15.1640625" bestFit="1" customWidth="1"/>
    <col min="4" max="4" width="11.5" bestFit="1" customWidth="1"/>
    <col min="5" max="5" width="18.33203125" customWidth="1"/>
    <col min="6" max="6" width="16.6640625" customWidth="1"/>
    <col min="7" max="7" width="11.5" bestFit="1" customWidth="1"/>
    <col min="8" max="8" width="15.33203125" customWidth="1"/>
    <col min="9" max="17" width="11.5" bestFit="1" customWidth="1"/>
  </cols>
  <sheetData>
    <row r="1" spans="1:22" ht="20" x14ac:dyDescent="0.2">
      <c r="A1" s="88" t="s">
        <v>263</v>
      </c>
      <c r="I1" s="28" t="s">
        <v>189</v>
      </c>
      <c r="J1" s="28" t="s">
        <v>261</v>
      </c>
      <c r="K1" s="28" t="s">
        <v>257</v>
      </c>
    </row>
    <row r="2" spans="1:22" x14ac:dyDescent="0.2">
      <c r="I2" s="28"/>
      <c r="J2" s="28" t="s">
        <v>259</v>
      </c>
      <c r="K2" s="28" t="s">
        <v>1</v>
      </c>
    </row>
    <row r="3" spans="1:22" x14ac:dyDescent="0.2">
      <c r="B3" s="4" t="s">
        <v>77</v>
      </c>
      <c r="I3" s="28"/>
      <c r="J3" s="28" t="s">
        <v>260</v>
      </c>
      <c r="K3" s="28" t="s">
        <v>262</v>
      </c>
    </row>
    <row r="4" spans="1:22" x14ac:dyDescent="0.2">
      <c r="B4" t="s">
        <v>67</v>
      </c>
      <c r="C4" s="17">
        <v>610</v>
      </c>
      <c r="D4" t="s">
        <v>78</v>
      </c>
      <c r="E4" t="s">
        <v>258</v>
      </c>
    </row>
    <row r="5" spans="1:22" x14ac:dyDescent="0.2">
      <c r="B5" s="13" t="s">
        <v>68</v>
      </c>
      <c r="C5" s="18">
        <v>120</v>
      </c>
      <c r="D5" t="s">
        <v>81</v>
      </c>
      <c r="E5" t="s">
        <v>79</v>
      </c>
    </row>
    <row r="6" spans="1:22" x14ac:dyDescent="0.2">
      <c r="B6" t="s">
        <v>74</v>
      </c>
      <c r="C6" s="19">
        <v>0.1</v>
      </c>
      <c r="D6" t="s">
        <v>80</v>
      </c>
      <c r="E6" t="s">
        <v>79</v>
      </c>
    </row>
    <row r="7" spans="1:22" x14ac:dyDescent="0.2">
      <c r="B7" t="s">
        <v>75</v>
      </c>
      <c r="C7" s="19">
        <v>0.08</v>
      </c>
      <c r="D7" t="s">
        <v>80</v>
      </c>
      <c r="E7" t="s">
        <v>82</v>
      </c>
    </row>
    <row r="9" spans="1:22" x14ac:dyDescent="0.2">
      <c r="B9" s="4" t="s">
        <v>83</v>
      </c>
      <c r="D9" t="s">
        <v>259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s="13" customFormat="1" ht="48" x14ac:dyDescent="0.2">
      <c r="B10" s="13" t="s">
        <v>69</v>
      </c>
      <c r="C10" s="13" t="s">
        <v>70</v>
      </c>
      <c r="E10" s="13" t="s">
        <v>84</v>
      </c>
      <c r="F10" s="13" t="s">
        <v>85</v>
      </c>
    </row>
    <row r="11" spans="1:22" x14ac:dyDescent="0.2">
      <c r="B11" s="5">
        <v>0.6</v>
      </c>
      <c r="C11" s="2">
        <f>$C$5*(1-B11)</f>
        <v>48</v>
      </c>
      <c r="D11" t="s">
        <v>81</v>
      </c>
      <c r="E11" s="8">
        <f>C11*$C$4/10^3</f>
        <v>29.28</v>
      </c>
      <c r="F11" s="8">
        <f>ROUND(E11,0)</f>
        <v>29</v>
      </c>
    </row>
    <row r="12" spans="1:22" x14ac:dyDescent="0.2">
      <c r="B12" s="5">
        <v>0.75</v>
      </c>
      <c r="C12" s="2">
        <f>$C$5*(1-B12)</f>
        <v>30</v>
      </c>
      <c r="D12" t="s">
        <v>81</v>
      </c>
      <c r="E12" s="8">
        <f>C12*$C$4/10^3</f>
        <v>18.3</v>
      </c>
      <c r="F12" s="8">
        <f>ROUND(E12,0)</f>
        <v>18</v>
      </c>
    </row>
    <row r="13" spans="1:22" x14ac:dyDescent="0.2">
      <c r="B13" s="5">
        <v>0.9</v>
      </c>
      <c r="C13" s="2">
        <f>$C$5*(1-B13)</f>
        <v>11.999999999999996</v>
      </c>
      <c r="D13" t="s">
        <v>81</v>
      </c>
      <c r="E13" s="8">
        <f>C13*$C$4/10^3</f>
        <v>7.3199999999999985</v>
      </c>
      <c r="F13" s="12">
        <v>7.3</v>
      </c>
    </row>
    <row r="14" spans="1:22" x14ac:dyDescent="0.2">
      <c r="B14" s="5"/>
      <c r="C14" s="2"/>
      <c r="E14" s="8"/>
      <c r="F14" s="12"/>
    </row>
    <row r="15" spans="1:22" x14ac:dyDescent="0.2">
      <c r="B15" s="26" t="s">
        <v>89</v>
      </c>
      <c r="C15" s="2"/>
      <c r="E15" s="8"/>
      <c r="G15" t="s">
        <v>264</v>
      </c>
    </row>
    <row r="16" spans="1:22" x14ac:dyDescent="0.2">
      <c r="B16" s="5"/>
      <c r="C16" s="16">
        <f>'MPA Fig3'!I6</f>
        <v>2016</v>
      </c>
      <c r="D16" s="16">
        <f>'MPA Fig3'!J6</f>
        <v>2017</v>
      </c>
      <c r="E16" s="16">
        <f>'MPA Fig3'!K6</f>
        <v>2018</v>
      </c>
      <c r="F16" s="16">
        <f>'MPA Fig3'!L6</f>
        <v>2019</v>
      </c>
      <c r="G16" s="16">
        <f>'MPA Fig3'!M6</f>
        <v>2020</v>
      </c>
      <c r="H16" s="16">
        <f>'MPA Fig3'!N6</f>
        <v>2021</v>
      </c>
      <c r="I16" s="16">
        <f>'MPA Fig3'!O6</f>
        <v>2022</v>
      </c>
      <c r="J16" s="16">
        <f>'MPA Fig3'!P6</f>
        <v>2023</v>
      </c>
      <c r="K16" s="16">
        <f>'MPA Fig3'!Q6</f>
        <v>2024</v>
      </c>
      <c r="L16" s="16">
        <f>'MPA Fig3'!R6</f>
        <v>2025</v>
      </c>
      <c r="M16" s="16">
        <f>'MPA Fig3'!S6</f>
        <v>2026</v>
      </c>
      <c r="N16" s="16">
        <f>'MPA Fig3'!T6</f>
        <v>2027</v>
      </c>
      <c r="O16" s="16">
        <f>'MPA Fig3'!U6</f>
        <v>2028</v>
      </c>
      <c r="P16" s="16">
        <f>'MPA Fig3'!V6</f>
        <v>2029</v>
      </c>
      <c r="Q16" s="16">
        <f>'MPA Fig3'!W6</f>
        <v>2030</v>
      </c>
    </row>
    <row r="17" spans="2:17" s="9" customFormat="1" x14ac:dyDescent="0.2">
      <c r="B17" s="9" t="str">
        <f>'MPA Fig3'!B7</f>
        <v>With Existing Measures</v>
      </c>
      <c r="C17" s="9">
        <f>'MPA Fig3'!I7</f>
        <v>602.71330306191055</v>
      </c>
      <c r="D17" s="9">
        <f>'MPA Fig3'!J7</f>
        <v>617.85236847387762</v>
      </c>
      <c r="E17" s="9">
        <f>'MPA Fig3'!K7</f>
        <v>632.99143388584469</v>
      </c>
      <c r="F17" s="9">
        <f>'MPA Fig3'!L7</f>
        <v>648.13049929781175</v>
      </c>
      <c r="G17" s="9">
        <f>'MPA Fig3'!M7</f>
        <v>663.26956470977905</v>
      </c>
      <c r="H17" s="9">
        <f>'MPA Fig3'!N7</f>
        <v>676.90841405199308</v>
      </c>
      <c r="I17" s="9">
        <f>'MPA Fig3'!O7</f>
        <v>690.54726339420711</v>
      </c>
      <c r="J17" s="9">
        <f>'MPA Fig3'!P7</f>
        <v>704.18611273642114</v>
      </c>
      <c r="K17" s="9">
        <f>'MPA Fig3'!Q7</f>
        <v>717.82496207863517</v>
      </c>
      <c r="L17" s="9">
        <f>'MPA Fig3'!R7</f>
        <v>731.46381142084908</v>
      </c>
      <c r="M17" s="9">
        <f>'MPA Fig3'!S7</f>
        <v>756.72009365326687</v>
      </c>
      <c r="N17" s="9">
        <f>'MPA Fig3'!T7</f>
        <v>781.97637588568466</v>
      </c>
      <c r="O17" s="9">
        <f>'MPA Fig3'!U7</f>
        <v>807.23265811810245</v>
      </c>
      <c r="P17" s="9">
        <f>'MPA Fig3'!V7</f>
        <v>832.48894035052024</v>
      </c>
      <c r="Q17" s="9">
        <f>'MPA Fig3'!W7</f>
        <v>857.74522258293814</v>
      </c>
    </row>
    <row r="18" spans="2:17" s="9" customFormat="1" x14ac:dyDescent="0.2">
      <c r="B18" s="9" t="str">
        <f>'MPA Fig3'!B8</f>
        <v>With Additional Measures</v>
      </c>
      <c r="C18" s="9">
        <f>'MPA Fig3'!I8</f>
        <v>547.75350194308066</v>
      </c>
      <c r="D18" s="9">
        <f>'MPA Fig3'!J8</f>
        <v>551.59679198156675</v>
      </c>
      <c r="E18" s="9">
        <f>'MPA Fig3'!K8</f>
        <v>555.44008202005284</v>
      </c>
      <c r="F18" s="9">
        <f>'MPA Fig3'!L8</f>
        <v>559.28337205853893</v>
      </c>
      <c r="G18" s="9">
        <f>'MPA Fig3'!M8</f>
        <v>563.12666209702502</v>
      </c>
      <c r="H18" s="9">
        <f>'MPA Fig3'!N8</f>
        <v>558.55739750094176</v>
      </c>
      <c r="I18" s="9">
        <f>'MPA Fig3'!O8</f>
        <v>553.9881329048585</v>
      </c>
      <c r="J18" s="9">
        <f>'MPA Fig3'!P8</f>
        <v>549.41886830877525</v>
      </c>
      <c r="K18" s="9">
        <f>'MPA Fig3'!Q8</f>
        <v>544.84960371269199</v>
      </c>
      <c r="L18" s="9">
        <f>'MPA Fig3'!R8</f>
        <v>540.28033911660896</v>
      </c>
      <c r="M18" s="9">
        <f>'MPA Fig3'!S8</f>
        <v>535.77096024498758</v>
      </c>
      <c r="N18" s="9">
        <f>'MPA Fig3'!T8</f>
        <v>531.2615813733662</v>
      </c>
      <c r="O18" s="9">
        <f>'MPA Fig3'!U8</f>
        <v>526.75220250174482</v>
      </c>
      <c r="P18" s="9">
        <f>'MPA Fig3'!V8</f>
        <v>522.24282363012344</v>
      </c>
      <c r="Q18" s="9">
        <f>'MPA Fig3'!W8</f>
        <v>517.73344475850183</v>
      </c>
    </row>
    <row r="19" spans="2:17" x14ac:dyDescent="0.2">
      <c r="B19" s="11"/>
    </row>
    <row r="20" spans="2:17" x14ac:dyDescent="0.2">
      <c r="B20" s="4" t="s">
        <v>88</v>
      </c>
      <c r="C20" t="s">
        <v>81</v>
      </c>
      <c r="D20" t="s">
        <v>90</v>
      </c>
      <c r="F20" t="s">
        <v>259</v>
      </c>
      <c r="J20" s="5"/>
    </row>
    <row r="21" spans="2:17" x14ac:dyDescent="0.2">
      <c r="B21" s="13"/>
      <c r="C21" s="13">
        <v>2016</v>
      </c>
      <c r="D21" s="13">
        <v>2017</v>
      </c>
      <c r="E21" s="13">
        <v>2018</v>
      </c>
      <c r="F21" s="13">
        <v>2019</v>
      </c>
      <c r="G21" s="13">
        <v>2020</v>
      </c>
      <c r="H21" s="13">
        <v>2021</v>
      </c>
      <c r="I21" s="13">
        <v>2022</v>
      </c>
      <c r="J21" s="13">
        <v>2023</v>
      </c>
      <c r="K21" s="13">
        <v>2024</v>
      </c>
      <c r="L21" s="13">
        <v>2025</v>
      </c>
      <c r="M21" s="13">
        <v>2026</v>
      </c>
      <c r="N21" s="13">
        <v>2027</v>
      </c>
      <c r="O21" s="13">
        <v>2028</v>
      </c>
      <c r="P21" s="13">
        <v>2029</v>
      </c>
      <c r="Q21" s="13">
        <v>2030</v>
      </c>
    </row>
    <row r="22" spans="2:17" x14ac:dyDescent="0.2">
      <c r="B22" t="s">
        <v>72</v>
      </c>
      <c r="C22" s="6">
        <f>C11</f>
        <v>48</v>
      </c>
      <c r="D22" s="29">
        <f t="shared" ref="D22:G24" si="0">C22*(1+$C$6)</f>
        <v>52.800000000000004</v>
      </c>
      <c r="E22" s="29">
        <f t="shared" si="0"/>
        <v>58.080000000000013</v>
      </c>
      <c r="F22" s="29">
        <f t="shared" si="0"/>
        <v>63.888000000000019</v>
      </c>
      <c r="G22" s="29">
        <f t="shared" si="0"/>
        <v>70.276800000000023</v>
      </c>
      <c r="H22" s="29">
        <f t="shared" ref="H22:Q22" si="1">G22*(1+$C$7)</f>
        <v>75.898944000000029</v>
      </c>
      <c r="I22" s="29">
        <f t="shared" si="1"/>
        <v>81.970859520000033</v>
      </c>
      <c r="J22" s="29">
        <f t="shared" si="1"/>
        <v>88.528528281600046</v>
      </c>
      <c r="K22" s="29">
        <f t="shared" si="1"/>
        <v>95.610810544128057</v>
      </c>
      <c r="L22" s="29">
        <f t="shared" si="1"/>
        <v>103.25967538765831</v>
      </c>
      <c r="M22" s="29">
        <f t="shared" si="1"/>
        <v>111.52044941867098</v>
      </c>
      <c r="N22" s="29">
        <f t="shared" si="1"/>
        <v>120.44208537216467</v>
      </c>
      <c r="O22" s="29">
        <f t="shared" si="1"/>
        <v>130.07745220193786</v>
      </c>
      <c r="P22" s="29">
        <f t="shared" si="1"/>
        <v>140.48364837809291</v>
      </c>
      <c r="Q22" s="29">
        <f t="shared" si="1"/>
        <v>151.72234024834034</v>
      </c>
    </row>
    <row r="23" spans="2:17" x14ac:dyDescent="0.2">
      <c r="B23" t="s">
        <v>111</v>
      </c>
      <c r="C23" s="6">
        <f>C12</f>
        <v>30</v>
      </c>
      <c r="D23" s="29">
        <f t="shared" si="0"/>
        <v>33</v>
      </c>
      <c r="E23" s="29">
        <f t="shared" si="0"/>
        <v>36.300000000000004</v>
      </c>
      <c r="F23" s="29">
        <f t="shared" si="0"/>
        <v>39.930000000000007</v>
      </c>
      <c r="G23" s="29">
        <f t="shared" si="0"/>
        <v>43.923000000000009</v>
      </c>
      <c r="H23" s="29">
        <f t="shared" ref="H23:Q23" si="2">G23*(1+$C$7)</f>
        <v>47.436840000000011</v>
      </c>
      <c r="I23" s="29">
        <f t="shared" si="2"/>
        <v>51.231787200000014</v>
      </c>
      <c r="J23" s="29">
        <f t="shared" si="2"/>
        <v>55.330330176000018</v>
      </c>
      <c r="K23" s="29">
        <f t="shared" si="2"/>
        <v>59.756756590080023</v>
      </c>
      <c r="L23" s="29">
        <f t="shared" si="2"/>
        <v>64.537297117286428</v>
      </c>
      <c r="M23" s="29">
        <f t="shared" si="2"/>
        <v>69.700280886669347</v>
      </c>
      <c r="N23" s="29">
        <f t="shared" si="2"/>
        <v>75.276303357602899</v>
      </c>
      <c r="O23" s="29">
        <f t="shared" si="2"/>
        <v>81.29840762621113</v>
      </c>
      <c r="P23" s="29">
        <f t="shared" si="2"/>
        <v>87.802280236308022</v>
      </c>
      <c r="Q23" s="29">
        <f t="shared" si="2"/>
        <v>94.826462655212666</v>
      </c>
    </row>
    <row r="24" spans="2:17" x14ac:dyDescent="0.2">
      <c r="B24" t="s">
        <v>73</v>
      </c>
      <c r="C24" s="6">
        <f>C13</f>
        <v>11.999999999999996</v>
      </c>
      <c r="D24" s="29">
        <f t="shared" si="0"/>
        <v>13.199999999999998</v>
      </c>
      <c r="E24" s="29">
        <f t="shared" si="0"/>
        <v>14.519999999999998</v>
      </c>
      <c r="F24" s="29">
        <f t="shared" si="0"/>
        <v>15.972</v>
      </c>
      <c r="G24" s="29">
        <f t="shared" si="0"/>
        <v>17.569200000000002</v>
      </c>
      <c r="H24" s="29">
        <f t="shared" ref="H24:Q24" si="3">G24*(1+$C$7)</f>
        <v>18.974736000000004</v>
      </c>
      <c r="I24" s="29">
        <f t="shared" si="3"/>
        <v>20.492714880000005</v>
      </c>
      <c r="J24" s="29">
        <f t="shared" si="3"/>
        <v>22.132132070400008</v>
      </c>
      <c r="K24" s="29">
        <f t="shared" si="3"/>
        <v>23.902702636032011</v>
      </c>
      <c r="L24" s="29">
        <f t="shared" si="3"/>
        <v>25.814918846914573</v>
      </c>
      <c r="M24" s="29">
        <f t="shared" si="3"/>
        <v>27.880112354667741</v>
      </c>
      <c r="N24" s="29">
        <f t="shared" si="3"/>
        <v>30.110521343041164</v>
      </c>
      <c r="O24" s="29">
        <f t="shared" si="3"/>
        <v>32.519363050484458</v>
      </c>
      <c r="P24" s="29">
        <f t="shared" si="3"/>
        <v>35.12091209452322</v>
      </c>
      <c r="Q24" s="29">
        <f t="shared" si="3"/>
        <v>37.930585062085079</v>
      </c>
    </row>
    <row r="26" spans="2:17" x14ac:dyDescent="0.2">
      <c r="B26" s="4" t="s">
        <v>91</v>
      </c>
      <c r="E26" t="s">
        <v>92</v>
      </c>
      <c r="H26" s="28" t="s">
        <v>94</v>
      </c>
      <c r="I26" t="s">
        <v>104</v>
      </c>
    </row>
    <row r="27" spans="2:17" x14ac:dyDescent="0.2">
      <c r="E27" t="s">
        <v>87</v>
      </c>
      <c r="F27" t="s">
        <v>86</v>
      </c>
      <c r="H27" t="s">
        <v>95</v>
      </c>
      <c r="I27" t="s">
        <v>105</v>
      </c>
    </row>
    <row r="28" spans="2:17" x14ac:dyDescent="0.2">
      <c r="C28" s="14" t="s">
        <v>93</v>
      </c>
      <c r="D28" t="s">
        <v>72</v>
      </c>
      <c r="E28" t="s">
        <v>94</v>
      </c>
      <c r="F28" t="s">
        <v>96</v>
      </c>
      <c r="H28" t="s">
        <v>96</v>
      </c>
      <c r="I28" t="s">
        <v>106</v>
      </c>
    </row>
    <row r="29" spans="2:17" x14ac:dyDescent="0.2">
      <c r="C29" s="14"/>
      <c r="D29" t="s">
        <v>73</v>
      </c>
      <c r="E29" t="s">
        <v>95</v>
      </c>
      <c r="F29" t="s">
        <v>97</v>
      </c>
      <c r="H29" s="28" t="s">
        <v>97</v>
      </c>
      <c r="I29" t="s">
        <v>108</v>
      </c>
    </row>
    <row r="30" spans="2:17" x14ac:dyDescent="0.2">
      <c r="C30" s="14"/>
      <c r="H30" t="s">
        <v>101</v>
      </c>
      <c r="I30" t="s">
        <v>109</v>
      </c>
    </row>
    <row r="31" spans="2:17" x14ac:dyDescent="0.2">
      <c r="C31" s="14"/>
      <c r="H31" t="s">
        <v>100</v>
      </c>
      <c r="I31" t="s">
        <v>110</v>
      </c>
    </row>
    <row r="32" spans="2:17" x14ac:dyDescent="0.2">
      <c r="C32" s="14"/>
    </row>
    <row r="34" spans="2:17" x14ac:dyDescent="0.2">
      <c r="B34" s="4" t="s">
        <v>98</v>
      </c>
      <c r="D34" t="s">
        <v>99</v>
      </c>
    </row>
    <row r="35" spans="2:17" x14ac:dyDescent="0.2">
      <c r="C35">
        <f>C21</f>
        <v>2016</v>
      </c>
      <c r="D35">
        <f t="shared" ref="D35:Q35" si="4">D21</f>
        <v>2017</v>
      </c>
      <c r="E35">
        <f t="shared" si="4"/>
        <v>2018</v>
      </c>
      <c r="F35">
        <f t="shared" si="4"/>
        <v>2019</v>
      </c>
      <c r="G35">
        <f t="shared" si="4"/>
        <v>2020</v>
      </c>
      <c r="H35">
        <f t="shared" si="4"/>
        <v>2021</v>
      </c>
      <c r="I35">
        <f t="shared" si="4"/>
        <v>2022</v>
      </c>
      <c r="J35">
        <f t="shared" si="4"/>
        <v>2023</v>
      </c>
      <c r="K35">
        <f t="shared" si="4"/>
        <v>2024</v>
      </c>
      <c r="L35">
        <f t="shared" si="4"/>
        <v>2025</v>
      </c>
      <c r="M35">
        <f t="shared" si="4"/>
        <v>2026</v>
      </c>
      <c r="N35">
        <f t="shared" si="4"/>
        <v>2027</v>
      </c>
      <c r="O35">
        <f t="shared" si="4"/>
        <v>2028</v>
      </c>
      <c r="P35">
        <f t="shared" si="4"/>
        <v>2029</v>
      </c>
      <c r="Q35">
        <f t="shared" si="4"/>
        <v>2030</v>
      </c>
    </row>
    <row r="36" spans="2:17" x14ac:dyDescent="0.2">
      <c r="B36" s="83" t="s">
        <v>94</v>
      </c>
      <c r="C36" s="2">
        <f>C17*C22/10^3</f>
        <v>28.930238546971704</v>
      </c>
      <c r="D36" s="2">
        <f t="shared" ref="D36:Q36" si="5">D17*D22/10^3</f>
        <v>32.622605055420742</v>
      </c>
      <c r="E36" s="2">
        <f t="shared" si="5"/>
        <v>36.764142480089866</v>
      </c>
      <c r="F36" s="2">
        <f t="shared" si="5"/>
        <v>41.407761339138609</v>
      </c>
      <c r="G36" s="2">
        <f t="shared" si="5"/>
        <v>46.612462545196216</v>
      </c>
      <c r="H36" s="2">
        <f t="shared" si="5"/>
        <v>51.376633811261051</v>
      </c>
      <c r="I36" s="2">
        <f t="shared" si="5"/>
        <v>56.604752719607013</v>
      </c>
      <c r="J36" s="2">
        <f t="shared" si="5"/>
        <v>62.340560196896256</v>
      </c>
      <c r="K36" s="2">
        <f t="shared" si="5"/>
        <v>68.631826453146289</v>
      </c>
      <c r="L36" s="2">
        <f t="shared" si="5"/>
        <v>75.53071572513619</v>
      </c>
      <c r="M36" s="2">
        <f t="shared" si="5"/>
        <v>84.389764928351113</v>
      </c>
      <c r="N36" s="2">
        <f t="shared" si="5"/>
        <v>94.182865423439566</v>
      </c>
      <c r="O36" s="2">
        <f t="shared" si="5"/>
        <v>105.00276750220071</v>
      </c>
      <c r="P36" s="2">
        <f t="shared" si="5"/>
        <v>116.95108357485366</v>
      </c>
      <c r="Q36" s="2">
        <f t="shared" si="5"/>
        <v>130.13911250711698</v>
      </c>
    </row>
    <row r="37" spans="2:17" x14ac:dyDescent="0.2">
      <c r="B37" t="s">
        <v>95</v>
      </c>
      <c r="C37" s="2">
        <f>C17*C24/10^3</f>
        <v>7.2325596367429243</v>
      </c>
      <c r="D37" s="2">
        <f t="shared" ref="D37:Q37" si="6">D17*D24/10^3</f>
        <v>8.1556512638551837</v>
      </c>
      <c r="E37" s="2">
        <f t="shared" si="6"/>
        <v>9.191035620022463</v>
      </c>
      <c r="F37" s="2">
        <f t="shared" si="6"/>
        <v>10.351940334784649</v>
      </c>
      <c r="G37" s="2">
        <f t="shared" si="6"/>
        <v>11.653115636299052</v>
      </c>
      <c r="H37" s="2">
        <f t="shared" si="6"/>
        <v>12.844158452815261</v>
      </c>
      <c r="I37" s="2">
        <f t="shared" si="6"/>
        <v>14.15118817990175</v>
      </c>
      <c r="J37" s="2">
        <f t="shared" si="6"/>
        <v>15.58514004922406</v>
      </c>
      <c r="K37" s="2">
        <f t="shared" si="6"/>
        <v>17.157956613286569</v>
      </c>
      <c r="L37" s="2">
        <f t="shared" si="6"/>
        <v>18.882678931284044</v>
      </c>
      <c r="M37" s="2">
        <f t="shared" si="6"/>
        <v>21.097441232087775</v>
      </c>
      <c r="N37" s="2">
        <f t="shared" si="6"/>
        <v>23.545716355859888</v>
      </c>
      <c r="O37" s="2">
        <f t="shared" si="6"/>
        <v>26.250691875550171</v>
      </c>
      <c r="P37" s="2">
        <f t="shared" si="6"/>
        <v>29.237770893713403</v>
      </c>
      <c r="Q37" s="2">
        <f t="shared" si="6"/>
        <v>32.534778126779237</v>
      </c>
    </row>
    <row r="38" spans="2:17" x14ac:dyDescent="0.2">
      <c r="B38" t="s">
        <v>96</v>
      </c>
      <c r="C38" s="2">
        <f>C18*C22/10^3</f>
        <v>26.292168093267872</v>
      </c>
      <c r="D38" s="2">
        <f t="shared" ref="D38:Q38" si="7">D18*D22/10^3</f>
        <v>29.12431061662673</v>
      </c>
      <c r="E38" s="2">
        <f t="shared" si="7"/>
        <v>32.259959963724675</v>
      </c>
      <c r="F38" s="2">
        <f t="shared" si="7"/>
        <v>35.731496074075949</v>
      </c>
      <c r="G38" s="2">
        <f t="shared" si="7"/>
        <v>39.574739806860222</v>
      </c>
      <c r="H38" s="2">
        <f t="shared" si="7"/>
        <v>42.393916633709736</v>
      </c>
      <c r="I38" s="2">
        <f t="shared" si="7"/>
        <v>45.410883418091267</v>
      </c>
      <c r="J38" s="2">
        <f t="shared" si="7"/>
        <v>48.6392438215181</v>
      </c>
      <c r="K38" s="2">
        <f t="shared" si="7"/>
        <v>52.093512235617446</v>
      </c>
      <c r="L38" s="2">
        <f t="shared" si="7"/>
        <v>55.789172435514985</v>
      </c>
      <c r="M38" s="2">
        <f t="shared" si="7"/>
        <v>59.749418271993918</v>
      </c>
      <c r="N38" s="2">
        <f t="shared" si="7"/>
        <v>63.986252738722179</v>
      </c>
      <c r="O38" s="2">
        <f t="shared" si="7"/>
        <v>68.518584443186199</v>
      </c>
      <c r="P38" s="2">
        <f t="shared" si="7"/>
        <v>73.366577202836652</v>
      </c>
      <c r="Q38" s="2">
        <f t="shared" si="7"/>
        <v>78.551729863594744</v>
      </c>
    </row>
    <row r="39" spans="2:17" x14ac:dyDescent="0.2">
      <c r="B39" s="83" t="s">
        <v>97</v>
      </c>
      <c r="C39" s="2">
        <f>C18*C24/10^3</f>
        <v>6.5730420233169662</v>
      </c>
      <c r="D39" s="2">
        <f t="shared" ref="D39:Q39" si="8">D18*D24/10^3</f>
        <v>7.2810776541566806</v>
      </c>
      <c r="E39" s="2">
        <f t="shared" si="8"/>
        <v>8.0649899909311653</v>
      </c>
      <c r="F39" s="2">
        <f t="shared" si="8"/>
        <v>8.9328740185189837</v>
      </c>
      <c r="G39" s="2">
        <f t="shared" si="8"/>
        <v>9.8936849517150538</v>
      </c>
      <c r="H39" s="2">
        <f t="shared" si="8"/>
        <v>10.598479158427432</v>
      </c>
      <c r="I39" s="2">
        <f t="shared" si="8"/>
        <v>11.352720854522815</v>
      </c>
      <c r="J39" s="2">
        <f t="shared" si="8"/>
        <v>12.159810955379523</v>
      </c>
      <c r="K39" s="2">
        <f t="shared" si="8"/>
        <v>13.02337805890436</v>
      </c>
      <c r="L39" s="2">
        <f t="shared" si="8"/>
        <v>13.947293108878744</v>
      </c>
      <c r="M39" s="2">
        <f t="shared" si="8"/>
        <v>14.937354567998476</v>
      </c>
      <c r="N39" s="2">
        <f t="shared" si="8"/>
        <v>15.996563184680543</v>
      </c>
      <c r="O39" s="2">
        <f t="shared" si="8"/>
        <v>17.129646110796546</v>
      </c>
      <c r="P39" s="2">
        <f t="shared" si="8"/>
        <v>18.341644300709159</v>
      </c>
      <c r="Q39" s="2">
        <f t="shared" si="8"/>
        <v>19.637932465898679</v>
      </c>
    </row>
    <row r="40" spans="2:17" x14ac:dyDescent="0.2">
      <c r="B40" s="27" t="s">
        <v>101</v>
      </c>
      <c r="C40" s="2">
        <f>C17*C23/10^3</f>
        <v>18.081399091857318</v>
      </c>
      <c r="D40" s="2">
        <f t="shared" ref="D40:Q40" si="9">D17*D23/10^3</f>
        <v>20.389128159637963</v>
      </c>
      <c r="E40" s="2">
        <f t="shared" si="9"/>
        <v>22.977589050056164</v>
      </c>
      <c r="F40" s="2">
        <f t="shared" si="9"/>
        <v>25.87985083696163</v>
      </c>
      <c r="G40" s="2">
        <f t="shared" si="9"/>
        <v>29.132789090747632</v>
      </c>
      <c r="H40" s="2">
        <f t="shared" si="9"/>
        <v>32.110396132038154</v>
      </c>
      <c r="I40" s="2">
        <f t="shared" si="9"/>
        <v>35.377970449754379</v>
      </c>
      <c r="J40" s="2">
        <f t="shared" si="9"/>
        <v>38.962850123060157</v>
      </c>
      <c r="K40" s="2">
        <f t="shared" si="9"/>
        <v>42.894891533216423</v>
      </c>
      <c r="L40" s="2">
        <f t="shared" si="9"/>
        <v>47.206697328210112</v>
      </c>
      <c r="M40" s="2">
        <f t="shared" si="9"/>
        <v>52.743603080219437</v>
      </c>
      <c r="N40" s="2">
        <f t="shared" si="9"/>
        <v>58.864290889649709</v>
      </c>
      <c r="O40" s="2">
        <f t="shared" si="9"/>
        <v>65.626729688875415</v>
      </c>
      <c r="P40" s="2">
        <f t="shared" si="9"/>
        <v>73.094427234283486</v>
      </c>
      <c r="Q40" s="2">
        <f t="shared" si="9"/>
        <v>81.336945316948061</v>
      </c>
    </row>
    <row r="41" spans="2:17" x14ac:dyDescent="0.2">
      <c r="B41" s="27" t="s">
        <v>100</v>
      </c>
      <c r="C41" s="2">
        <f>C18*C23/10^3</f>
        <v>16.43260505829242</v>
      </c>
      <c r="D41" s="2">
        <f t="shared" ref="D41:Q41" si="10">D18*D23/10^3</f>
        <v>18.202694135391702</v>
      </c>
      <c r="E41" s="2">
        <f t="shared" si="10"/>
        <v>20.162474977327921</v>
      </c>
      <c r="F41" s="2">
        <f t="shared" si="10"/>
        <v>22.332185046297461</v>
      </c>
      <c r="G41" s="2">
        <f t="shared" si="10"/>
        <v>24.734212379287634</v>
      </c>
      <c r="H41" s="2">
        <f t="shared" si="10"/>
        <v>26.49619789606858</v>
      </c>
      <c r="I41" s="2">
        <f t="shared" si="10"/>
        <v>28.381802136307037</v>
      </c>
      <c r="J41" s="2">
        <f t="shared" si="10"/>
        <v>30.39952738844881</v>
      </c>
      <c r="K41" s="2">
        <f t="shared" si="10"/>
        <v>32.558445147260898</v>
      </c>
      <c r="L41" s="2">
        <f t="shared" si="10"/>
        <v>34.868232772196862</v>
      </c>
      <c r="M41" s="2">
        <f t="shared" si="10"/>
        <v>37.343386419996193</v>
      </c>
      <c r="N41" s="2">
        <f t="shared" si="10"/>
        <v>39.991407961701348</v>
      </c>
      <c r="O41" s="2">
        <f t="shared" si="10"/>
        <v>42.824115276991364</v>
      </c>
      <c r="P41" s="2">
        <f t="shared" si="10"/>
        <v>45.854110751772879</v>
      </c>
      <c r="Q41" s="2">
        <f t="shared" si="10"/>
        <v>49.094831164746687</v>
      </c>
    </row>
    <row r="45" spans="2:17" ht="26" x14ac:dyDescent="0.3">
      <c r="B45" t="s">
        <v>103</v>
      </c>
      <c r="E45" s="31" t="s">
        <v>102</v>
      </c>
      <c r="I45" s="32" t="s">
        <v>107</v>
      </c>
    </row>
    <row r="66" spans="3:8" x14ac:dyDescent="0.2">
      <c r="C66" t="s">
        <v>76</v>
      </c>
    </row>
    <row r="67" spans="3:8" x14ac:dyDescent="0.2">
      <c r="C67" t="s">
        <v>113</v>
      </c>
    </row>
    <row r="68" spans="3:8" x14ac:dyDescent="0.2">
      <c r="C68" t="s">
        <v>115</v>
      </c>
      <c r="D68" s="2">
        <f>1076234.3/10^3</f>
        <v>1076.2343000000001</v>
      </c>
    </row>
    <row r="69" spans="3:8" x14ac:dyDescent="0.2">
      <c r="C69" t="s">
        <v>116</v>
      </c>
      <c r="D69" s="2">
        <f>D68*(1+G69)</f>
        <v>1183.8577300000002</v>
      </c>
      <c r="E69" t="s">
        <v>114</v>
      </c>
      <c r="F69" t="s">
        <v>117</v>
      </c>
      <c r="G69" s="30">
        <v>0.1</v>
      </c>
      <c r="H69" t="s">
        <v>118</v>
      </c>
    </row>
    <row r="70" spans="3:8" ht="32" x14ac:dyDescent="0.2">
      <c r="C70" s="13" t="s">
        <v>71</v>
      </c>
      <c r="D70" s="1">
        <f>F11/D69</f>
        <v>2.4496186716625144E-2</v>
      </c>
    </row>
    <row r="71" spans="3:8" x14ac:dyDescent="0.2">
      <c r="D71" s="1">
        <f>F12/D69</f>
        <v>1.5204529686181124E-2</v>
      </c>
    </row>
    <row r="72" spans="3:8" x14ac:dyDescent="0.2">
      <c r="D72" s="1">
        <f>F13/D69</f>
        <v>6.1662814838401225E-3</v>
      </c>
    </row>
  </sheetData>
  <pageMargins left="0.75" right="0.75" top="1" bottom="1" header="0.5" footer="0.5"/>
  <pageSetup paperSize="9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opLeftCell="A40" workbookViewId="0">
      <selection activeCell="I1" sqref="I1:K1"/>
    </sheetView>
  </sheetViews>
  <sheetFormatPr baseColWidth="10" defaultRowHeight="16" x14ac:dyDescent="0.2"/>
  <cols>
    <col min="3" max="3" width="11.6640625" bestFit="1" customWidth="1"/>
    <col min="4" max="7" width="11.5" bestFit="1" customWidth="1"/>
    <col min="8" max="8" width="11.6640625" bestFit="1" customWidth="1"/>
    <col min="9" max="12" width="11.5" bestFit="1" customWidth="1"/>
    <col min="13" max="13" width="11.6640625" bestFit="1" customWidth="1"/>
    <col min="14" max="17" width="11.5" bestFit="1" customWidth="1"/>
    <col min="18" max="18" width="11.6640625" bestFit="1" customWidth="1"/>
    <col min="19" max="22" width="11.5" bestFit="1" customWidth="1"/>
    <col min="23" max="23" width="11.6640625" bestFit="1" customWidth="1"/>
  </cols>
  <sheetData>
    <row r="1" spans="1:23" ht="20" x14ac:dyDescent="0.2">
      <c r="A1" s="88" t="s">
        <v>265</v>
      </c>
      <c r="I1" s="28" t="s">
        <v>266</v>
      </c>
      <c r="J1" s="28" t="s">
        <v>260</v>
      </c>
      <c r="K1" s="28" t="s">
        <v>262</v>
      </c>
    </row>
    <row r="3" spans="1:23" x14ac:dyDescent="0.2">
      <c r="B3" s="20"/>
      <c r="C3" s="21">
        <v>2010</v>
      </c>
      <c r="D3" s="20">
        <v>2015</v>
      </c>
      <c r="E3" s="21">
        <v>2020</v>
      </c>
      <c r="F3" s="20">
        <v>2025</v>
      </c>
      <c r="G3" s="21">
        <v>2030</v>
      </c>
      <c r="H3" s="20">
        <v>2035</v>
      </c>
      <c r="I3" s="21">
        <v>2040</v>
      </c>
      <c r="J3" s="20">
        <v>2045</v>
      </c>
      <c r="K3" s="21">
        <v>2050</v>
      </c>
    </row>
    <row r="4" spans="1:23" x14ac:dyDescent="0.2">
      <c r="B4" s="20" t="s">
        <v>87</v>
      </c>
      <c r="C4" s="20">
        <v>529671.60773948417</v>
      </c>
      <c r="D4" s="20">
        <v>587574.23764994345</v>
      </c>
      <c r="E4" s="22">
        <v>663269.56470977899</v>
      </c>
      <c r="F4" s="23">
        <v>731463.81142084906</v>
      </c>
      <c r="G4" s="20">
        <v>857745.22258293815</v>
      </c>
      <c r="H4" s="20">
        <v>972593.52950848674</v>
      </c>
      <c r="I4" s="20">
        <v>1147834.2598725546</v>
      </c>
      <c r="J4" s="20">
        <v>1326785.6840163055</v>
      </c>
      <c r="K4" s="20">
        <v>1592605.0213747676</v>
      </c>
    </row>
    <row r="5" spans="1:23" x14ac:dyDescent="0.2">
      <c r="B5" s="20" t="s">
        <v>86</v>
      </c>
      <c r="C5" s="20">
        <v>519818.69146325428</v>
      </c>
      <c r="D5" s="20">
        <v>543910.21190459456</v>
      </c>
      <c r="E5" s="20">
        <v>563126.66209702496</v>
      </c>
      <c r="F5" s="20">
        <v>540280.33911660896</v>
      </c>
      <c r="G5" s="20">
        <v>517733.44475850178</v>
      </c>
      <c r="H5" s="20">
        <v>545019.42185475619</v>
      </c>
      <c r="I5" s="20">
        <v>567855.39675191953</v>
      </c>
      <c r="J5" s="20">
        <v>642226.30293826968</v>
      </c>
      <c r="K5" s="20">
        <v>740060.78175530431</v>
      </c>
    </row>
    <row r="6" spans="1:23" x14ac:dyDescent="0.2">
      <c r="C6" s="24">
        <f>C3</f>
        <v>2010</v>
      </c>
      <c r="D6">
        <f t="shared" ref="D6:G8" si="0">C6+($H6-$C6)/5</f>
        <v>2011</v>
      </c>
      <c r="E6">
        <f t="shared" si="0"/>
        <v>2012</v>
      </c>
      <c r="F6">
        <f t="shared" si="0"/>
        <v>2013</v>
      </c>
      <c r="G6">
        <f t="shared" si="0"/>
        <v>2014</v>
      </c>
      <c r="H6">
        <f>D3</f>
        <v>2015</v>
      </c>
      <c r="I6">
        <f t="shared" ref="I6:L8" si="1">H6+($M6-$H6)/5</f>
        <v>2016</v>
      </c>
      <c r="J6">
        <f t="shared" si="1"/>
        <v>2017</v>
      </c>
      <c r="K6">
        <f t="shared" si="1"/>
        <v>2018</v>
      </c>
      <c r="L6">
        <f t="shared" si="1"/>
        <v>2019</v>
      </c>
      <c r="M6" s="24">
        <f>E3</f>
        <v>2020</v>
      </c>
      <c r="N6">
        <f t="shared" ref="N6:Q8" si="2">M6+($R6-$M6)/5</f>
        <v>2021</v>
      </c>
      <c r="O6">
        <f t="shared" si="2"/>
        <v>2022</v>
      </c>
      <c r="P6">
        <f t="shared" si="2"/>
        <v>2023</v>
      </c>
      <c r="Q6">
        <f t="shared" si="2"/>
        <v>2024</v>
      </c>
      <c r="R6">
        <f>F3</f>
        <v>2025</v>
      </c>
      <c r="S6">
        <f t="shared" ref="S6:V8" si="3">R6+($W6-$R6)/5</f>
        <v>2026</v>
      </c>
      <c r="T6">
        <f t="shared" si="3"/>
        <v>2027</v>
      </c>
      <c r="U6">
        <f t="shared" si="3"/>
        <v>2028</v>
      </c>
      <c r="V6">
        <f t="shared" si="3"/>
        <v>2029</v>
      </c>
      <c r="W6" s="24">
        <f>G3</f>
        <v>2030</v>
      </c>
    </row>
    <row r="7" spans="1:23" s="9" customFormat="1" x14ac:dyDescent="0.2">
      <c r="B7" s="25" t="s">
        <v>87</v>
      </c>
      <c r="C7" s="9">
        <f>C4/10^3</f>
        <v>529.67160773948422</v>
      </c>
      <c r="D7" s="9">
        <f t="shared" si="0"/>
        <v>541.25213372157612</v>
      </c>
      <c r="E7" s="9">
        <f t="shared" si="0"/>
        <v>552.83265970366801</v>
      </c>
      <c r="F7" s="9">
        <f t="shared" si="0"/>
        <v>564.41318568575991</v>
      </c>
      <c r="G7" s="9">
        <f t="shared" si="0"/>
        <v>575.99371166785181</v>
      </c>
      <c r="H7" s="9">
        <f>D4/10^3</f>
        <v>587.57423764994348</v>
      </c>
      <c r="I7" s="9">
        <f t="shared" si="1"/>
        <v>602.71330306191055</v>
      </c>
      <c r="J7" s="9">
        <f t="shared" si="1"/>
        <v>617.85236847387762</v>
      </c>
      <c r="K7" s="9">
        <f t="shared" si="1"/>
        <v>632.99143388584469</v>
      </c>
      <c r="L7" s="9">
        <f t="shared" si="1"/>
        <v>648.13049929781175</v>
      </c>
      <c r="M7" s="9">
        <f>E4/10^3</f>
        <v>663.26956470977905</v>
      </c>
      <c r="N7" s="9">
        <f t="shared" si="2"/>
        <v>676.90841405199308</v>
      </c>
      <c r="O7" s="9">
        <f t="shared" si="2"/>
        <v>690.54726339420711</v>
      </c>
      <c r="P7" s="9">
        <f t="shared" si="2"/>
        <v>704.18611273642114</v>
      </c>
      <c r="Q7" s="9">
        <f t="shared" si="2"/>
        <v>717.82496207863517</v>
      </c>
      <c r="R7" s="9">
        <f>F4/10^3</f>
        <v>731.46381142084908</v>
      </c>
      <c r="S7" s="9">
        <f t="shared" si="3"/>
        <v>756.72009365326687</v>
      </c>
      <c r="T7" s="9">
        <f t="shared" si="3"/>
        <v>781.97637588568466</v>
      </c>
      <c r="U7" s="9">
        <f t="shared" si="3"/>
        <v>807.23265811810245</v>
      </c>
      <c r="V7" s="9">
        <f t="shared" si="3"/>
        <v>832.48894035052024</v>
      </c>
      <c r="W7" s="9">
        <f>G4/10^3</f>
        <v>857.74522258293814</v>
      </c>
    </row>
    <row r="8" spans="1:23" s="9" customFormat="1" x14ac:dyDescent="0.2">
      <c r="B8" s="25" t="s">
        <v>86</v>
      </c>
      <c r="C8" s="9">
        <f>C5/10^3</f>
        <v>519.81869146325425</v>
      </c>
      <c r="D8" s="9">
        <f t="shared" si="0"/>
        <v>524.63699555152232</v>
      </c>
      <c r="E8" s="9">
        <f t="shared" si="0"/>
        <v>529.45529963979038</v>
      </c>
      <c r="F8" s="9">
        <f t="shared" si="0"/>
        <v>534.27360372805845</v>
      </c>
      <c r="G8" s="9">
        <f t="shared" si="0"/>
        <v>539.09190781632651</v>
      </c>
      <c r="H8" s="9">
        <f>D5/10^3</f>
        <v>543.91021190459458</v>
      </c>
      <c r="I8" s="9">
        <f t="shared" si="1"/>
        <v>547.75350194308066</v>
      </c>
      <c r="J8" s="9">
        <f t="shared" si="1"/>
        <v>551.59679198156675</v>
      </c>
      <c r="K8" s="9">
        <f t="shared" si="1"/>
        <v>555.44008202005284</v>
      </c>
      <c r="L8" s="9">
        <f t="shared" si="1"/>
        <v>559.28337205853893</v>
      </c>
      <c r="M8" s="9">
        <f>E5/10^3</f>
        <v>563.12666209702502</v>
      </c>
      <c r="N8" s="9">
        <f t="shared" si="2"/>
        <v>558.55739750094176</v>
      </c>
      <c r="O8" s="9">
        <f t="shared" si="2"/>
        <v>553.9881329048585</v>
      </c>
      <c r="P8" s="9">
        <f t="shared" si="2"/>
        <v>549.41886830877525</v>
      </c>
      <c r="Q8" s="9">
        <f t="shared" si="2"/>
        <v>544.84960371269199</v>
      </c>
      <c r="R8" s="9">
        <f>F5/10^3</f>
        <v>540.28033911660896</v>
      </c>
      <c r="S8" s="9">
        <f t="shared" si="3"/>
        <v>535.77096024498758</v>
      </c>
      <c r="T8" s="9">
        <f t="shared" si="3"/>
        <v>531.2615813733662</v>
      </c>
      <c r="U8" s="9">
        <f t="shared" si="3"/>
        <v>526.75220250174482</v>
      </c>
      <c r="V8" s="9">
        <f t="shared" si="3"/>
        <v>522.24282363012344</v>
      </c>
      <c r="W8" s="9">
        <f>G5/10^3</f>
        <v>517.73344475850183</v>
      </c>
    </row>
    <row r="10" spans="1:23" x14ac:dyDescent="0.2">
      <c r="C10" s="5">
        <v>0.75</v>
      </c>
      <c r="D10" t="s">
        <v>112</v>
      </c>
    </row>
    <row r="11" spans="1:23" x14ac:dyDescent="0.2">
      <c r="C11" s="24">
        <f>C6</f>
        <v>2010</v>
      </c>
      <c r="D11" s="24">
        <f t="shared" ref="D11:W11" si="4">D6</f>
        <v>2011</v>
      </c>
      <c r="E11" s="24">
        <f t="shared" si="4"/>
        <v>2012</v>
      </c>
      <c r="F11" s="24">
        <f t="shared" si="4"/>
        <v>2013</v>
      </c>
      <c r="G11" s="24">
        <f t="shared" si="4"/>
        <v>2014</v>
      </c>
      <c r="H11" s="24">
        <f t="shared" si="4"/>
        <v>2015</v>
      </c>
      <c r="I11" s="24">
        <f t="shared" si="4"/>
        <v>2016</v>
      </c>
      <c r="J11" s="24">
        <f t="shared" si="4"/>
        <v>2017</v>
      </c>
      <c r="K11" s="24">
        <f t="shared" si="4"/>
        <v>2018</v>
      </c>
      <c r="L11" s="24">
        <f t="shared" si="4"/>
        <v>2019</v>
      </c>
      <c r="M11" s="24">
        <f t="shared" si="4"/>
        <v>2020</v>
      </c>
      <c r="N11" s="24">
        <f t="shared" si="4"/>
        <v>2021</v>
      </c>
      <c r="O11" s="24">
        <f t="shared" si="4"/>
        <v>2022</v>
      </c>
      <c r="P11" s="24">
        <f t="shared" si="4"/>
        <v>2023</v>
      </c>
      <c r="Q11" s="24">
        <f t="shared" si="4"/>
        <v>2024</v>
      </c>
      <c r="R11" s="24">
        <f t="shared" si="4"/>
        <v>2025</v>
      </c>
      <c r="S11" s="24">
        <f t="shared" si="4"/>
        <v>2026</v>
      </c>
      <c r="T11" s="24">
        <f t="shared" si="4"/>
        <v>2027</v>
      </c>
      <c r="U11" s="24">
        <f t="shared" si="4"/>
        <v>2028</v>
      </c>
      <c r="V11" s="24">
        <f t="shared" si="4"/>
        <v>2029</v>
      </c>
      <c r="W11" s="24">
        <f t="shared" si="4"/>
        <v>2030</v>
      </c>
    </row>
    <row r="12" spans="1:23" x14ac:dyDescent="0.2">
      <c r="B12" s="7" t="str">
        <f>B7</f>
        <v>With Existing Measures</v>
      </c>
      <c r="C12" s="7">
        <f>C7*$C$10</f>
        <v>397.25370580461316</v>
      </c>
      <c r="D12" s="7">
        <f t="shared" ref="D12:W12" si="5">D7*$C$10</f>
        <v>405.93910029118206</v>
      </c>
      <c r="E12" s="7">
        <f t="shared" si="5"/>
        <v>414.62449477775101</v>
      </c>
      <c r="F12" s="7">
        <f t="shared" si="5"/>
        <v>423.30988926431996</v>
      </c>
      <c r="G12" s="7">
        <f t="shared" si="5"/>
        <v>431.99528375088886</v>
      </c>
      <c r="H12" s="7">
        <f t="shared" si="5"/>
        <v>440.68067823745764</v>
      </c>
      <c r="I12" s="7">
        <f t="shared" si="5"/>
        <v>452.03497729643288</v>
      </c>
      <c r="J12" s="7">
        <f t="shared" si="5"/>
        <v>463.38927635540824</v>
      </c>
      <c r="K12" s="7">
        <f t="shared" si="5"/>
        <v>474.74357541438349</v>
      </c>
      <c r="L12" s="7">
        <f t="shared" si="5"/>
        <v>486.09787447335884</v>
      </c>
      <c r="M12" s="7">
        <f t="shared" si="5"/>
        <v>497.45217353233431</v>
      </c>
      <c r="N12" s="7">
        <f t="shared" si="5"/>
        <v>507.68131053899481</v>
      </c>
      <c r="O12" s="7">
        <f t="shared" si="5"/>
        <v>517.9104475456553</v>
      </c>
      <c r="P12" s="7">
        <f t="shared" si="5"/>
        <v>528.13958455231591</v>
      </c>
      <c r="Q12" s="7">
        <f t="shared" si="5"/>
        <v>538.3687215589764</v>
      </c>
      <c r="R12" s="7">
        <f t="shared" si="5"/>
        <v>548.59785856563678</v>
      </c>
      <c r="S12" s="7">
        <f t="shared" si="5"/>
        <v>567.54007023995018</v>
      </c>
      <c r="T12" s="7">
        <f t="shared" si="5"/>
        <v>586.48228191426347</v>
      </c>
      <c r="U12" s="7">
        <f t="shared" si="5"/>
        <v>605.42449358857687</v>
      </c>
      <c r="V12" s="7">
        <f t="shared" si="5"/>
        <v>624.36670526289015</v>
      </c>
      <c r="W12" s="7">
        <f t="shared" si="5"/>
        <v>643.30891693720355</v>
      </c>
    </row>
    <row r="13" spans="1:23" x14ac:dyDescent="0.2">
      <c r="B13" s="7" t="str">
        <f>B8</f>
        <v>With Additional Measures</v>
      </c>
      <c r="C13" s="7">
        <f>C8*$C$10</f>
        <v>389.86401859744069</v>
      </c>
      <c r="D13" s="7">
        <f t="shared" ref="D13:W13" si="6">D8*$C$10</f>
        <v>393.47774666364171</v>
      </c>
      <c r="E13" s="7">
        <f t="shared" si="6"/>
        <v>397.09147472984279</v>
      </c>
      <c r="F13" s="7">
        <f t="shared" si="6"/>
        <v>400.70520279604386</v>
      </c>
      <c r="G13" s="7">
        <f t="shared" si="6"/>
        <v>404.31893086224488</v>
      </c>
      <c r="H13" s="7">
        <f t="shared" si="6"/>
        <v>407.9326589284459</v>
      </c>
      <c r="I13" s="7">
        <f t="shared" si="6"/>
        <v>410.8151264573105</v>
      </c>
      <c r="J13" s="7">
        <f t="shared" si="6"/>
        <v>413.69759398617509</v>
      </c>
      <c r="K13" s="7">
        <f t="shared" si="6"/>
        <v>416.58006151503963</v>
      </c>
      <c r="L13" s="7">
        <f t="shared" si="6"/>
        <v>419.46252904390417</v>
      </c>
      <c r="M13" s="7">
        <f t="shared" si="6"/>
        <v>422.34499657276876</v>
      </c>
      <c r="N13" s="7">
        <f t="shared" si="6"/>
        <v>418.91804812570632</v>
      </c>
      <c r="O13" s="7">
        <f t="shared" si="6"/>
        <v>415.49109967864388</v>
      </c>
      <c r="P13" s="7">
        <f t="shared" si="6"/>
        <v>412.06415123158143</v>
      </c>
      <c r="Q13" s="7">
        <f t="shared" si="6"/>
        <v>408.63720278451899</v>
      </c>
      <c r="R13" s="7">
        <f t="shared" si="6"/>
        <v>405.21025433745672</v>
      </c>
      <c r="S13" s="7">
        <f t="shared" si="6"/>
        <v>401.82822018374065</v>
      </c>
      <c r="T13" s="7">
        <f t="shared" si="6"/>
        <v>398.44618603002465</v>
      </c>
      <c r="U13" s="7">
        <f t="shared" si="6"/>
        <v>395.06415187630864</v>
      </c>
      <c r="V13" s="7">
        <f t="shared" si="6"/>
        <v>391.68211772259258</v>
      </c>
      <c r="W13" s="7">
        <f t="shared" si="6"/>
        <v>388.3000835688764</v>
      </c>
    </row>
  </sheetData>
  <pageMargins left="0.75" right="0.75" top="1" bottom="1" header="0.5" footer="0.5"/>
  <pageSetup paperSize="9"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39997558519241921"/>
  </sheetPr>
  <dimension ref="A1:W30"/>
  <sheetViews>
    <sheetView topLeftCell="A6" workbookViewId="0">
      <selection activeCell="B3" sqref="B3"/>
    </sheetView>
  </sheetViews>
  <sheetFormatPr baseColWidth="10" defaultRowHeight="16" x14ac:dyDescent="0.2"/>
  <cols>
    <col min="2" max="2" width="16.6640625" bestFit="1" customWidth="1"/>
    <col min="3" max="3" width="11.6640625" bestFit="1" customWidth="1"/>
    <col min="4" max="4" width="17.5" customWidth="1"/>
    <col min="5" max="5" width="11.1640625" bestFit="1" customWidth="1"/>
    <col min="6" max="6" width="13.6640625" bestFit="1" customWidth="1"/>
    <col min="7" max="8" width="11.1640625" bestFit="1" customWidth="1"/>
    <col min="9" max="15" width="12" bestFit="1" customWidth="1"/>
    <col min="16" max="16" width="13.6640625" customWidth="1"/>
  </cols>
  <sheetData>
    <row r="1" spans="1:23" ht="20" x14ac:dyDescent="0.2">
      <c r="A1" s="88" t="s">
        <v>195</v>
      </c>
      <c r="I1" s="28" t="s">
        <v>189</v>
      </c>
      <c r="J1" s="28" t="s">
        <v>190</v>
      </c>
      <c r="K1" s="28" t="s">
        <v>178</v>
      </c>
    </row>
    <row r="2" spans="1:23" x14ac:dyDescent="0.2">
      <c r="I2" s="28"/>
      <c r="J2" s="28" t="s">
        <v>191</v>
      </c>
      <c r="K2" s="28" t="s">
        <v>192</v>
      </c>
    </row>
    <row r="3" spans="1:23" ht="19" x14ac:dyDescent="0.25">
      <c r="B3" s="94" t="s">
        <v>196</v>
      </c>
      <c r="D3" s="33"/>
    </row>
    <row r="4" spans="1:23" x14ac:dyDescent="0.2">
      <c r="B4" t="s">
        <v>174</v>
      </c>
      <c r="C4" t="s">
        <v>188</v>
      </c>
    </row>
    <row r="5" spans="1:23" x14ac:dyDescent="0.2">
      <c r="B5">
        <v>2016</v>
      </c>
      <c r="C5">
        <v>2017</v>
      </c>
      <c r="D5">
        <v>2018</v>
      </c>
      <c r="E5">
        <v>2019</v>
      </c>
      <c r="F5">
        <v>2020</v>
      </c>
      <c r="G5">
        <v>2021</v>
      </c>
      <c r="H5">
        <v>2022</v>
      </c>
      <c r="I5">
        <v>2023</v>
      </c>
      <c r="J5">
        <v>2024</v>
      </c>
      <c r="K5">
        <v>2025</v>
      </c>
      <c r="L5">
        <v>2026</v>
      </c>
      <c r="M5">
        <v>2027</v>
      </c>
      <c r="N5">
        <v>2028</v>
      </c>
      <c r="O5">
        <v>2029</v>
      </c>
      <c r="P5">
        <v>2030</v>
      </c>
    </row>
    <row r="6" spans="1:23" x14ac:dyDescent="0.2">
      <c r="A6" t="s">
        <v>176</v>
      </c>
      <c r="B6" s="53">
        <v>5583</v>
      </c>
      <c r="C6" s="54">
        <v>6184</v>
      </c>
      <c r="D6" s="54">
        <v>6432</v>
      </c>
      <c r="E6" s="54">
        <v>7792</v>
      </c>
      <c r="F6" s="54">
        <f t="shared" ref="F6:P6" si="0">E6*(1+$V$7)</f>
        <v>8711.4559999999983</v>
      </c>
      <c r="G6" s="54">
        <f t="shared" si="0"/>
        <v>9739.4078079999963</v>
      </c>
      <c r="H6" s="54">
        <f t="shared" si="0"/>
        <v>10888.657929343995</v>
      </c>
      <c r="I6" s="54">
        <f t="shared" si="0"/>
        <v>12173.519565006585</v>
      </c>
      <c r="J6" s="54">
        <f t="shared" si="0"/>
        <v>13609.99487367736</v>
      </c>
      <c r="K6" s="54">
        <f t="shared" si="0"/>
        <v>15215.974268771288</v>
      </c>
      <c r="L6" s="54">
        <f t="shared" si="0"/>
        <v>17011.459232486297</v>
      </c>
      <c r="M6" s="54">
        <f t="shared" si="0"/>
        <v>19018.81142191968</v>
      </c>
      <c r="N6" s="54">
        <f t="shared" si="0"/>
        <v>21263.031169706199</v>
      </c>
      <c r="O6" s="54">
        <f t="shared" si="0"/>
        <v>23772.068847731527</v>
      </c>
      <c r="P6" s="54">
        <f t="shared" si="0"/>
        <v>26577.172971763845</v>
      </c>
      <c r="Q6" s="45"/>
      <c r="R6" s="47" t="s">
        <v>180</v>
      </c>
      <c r="S6" s="1">
        <f>(C7-B7)/B7</f>
        <v>0.107648217804048</v>
      </c>
      <c r="T6" s="1">
        <f>(D7-C7)/C7</f>
        <v>4.0103492884864166E-2</v>
      </c>
      <c r="U6" s="1">
        <f>(E7-D7)/D7</f>
        <v>0.21144278606965175</v>
      </c>
      <c r="V6" s="47"/>
    </row>
    <row r="7" spans="1:23" x14ac:dyDescent="0.2">
      <c r="A7" s="41" t="s">
        <v>175</v>
      </c>
      <c r="B7" s="49">
        <v>5583</v>
      </c>
      <c r="C7" s="50">
        <v>6184</v>
      </c>
      <c r="D7" s="50">
        <v>6432</v>
      </c>
      <c r="E7" s="50">
        <v>7792</v>
      </c>
      <c r="F7" s="49">
        <v>8216.5</v>
      </c>
      <c r="G7" s="50">
        <v>8904</v>
      </c>
      <c r="H7" s="50">
        <v>9591.5</v>
      </c>
      <c r="I7" s="50">
        <v>10279</v>
      </c>
      <c r="J7" s="49">
        <v>10966.5</v>
      </c>
      <c r="K7" s="50">
        <v>11654</v>
      </c>
      <c r="L7" s="50">
        <v>12341.5</v>
      </c>
      <c r="M7" s="50">
        <v>13029</v>
      </c>
      <c r="N7" s="49">
        <v>13716.5</v>
      </c>
      <c r="O7" s="50">
        <v>14404</v>
      </c>
      <c r="P7" s="50">
        <v>15091.5</v>
      </c>
      <c r="R7" s="47"/>
      <c r="S7" s="1"/>
      <c r="T7" s="1" t="s">
        <v>181</v>
      </c>
      <c r="U7" s="51">
        <f>AVERAGE(S6:U6)</f>
        <v>0.1197314989195213</v>
      </c>
      <c r="V7" s="52">
        <v>0.11799999999999999</v>
      </c>
      <c r="W7" t="s">
        <v>182</v>
      </c>
    </row>
    <row r="8" spans="1:23" x14ac:dyDescent="0.2">
      <c r="A8" t="s">
        <v>185</v>
      </c>
      <c r="B8" s="56">
        <v>5583</v>
      </c>
      <c r="C8" s="55">
        <v>6184</v>
      </c>
      <c r="D8" s="55">
        <v>6432</v>
      </c>
      <c r="E8" s="55">
        <v>7792</v>
      </c>
      <c r="F8" s="57">
        <f>E8*(1+'Match rev and exp Fig 6'!$E$2)</f>
        <v>8415.36</v>
      </c>
      <c r="G8" s="57">
        <f>F8*(1+'Match rev and exp Fig 6'!$E$2)</f>
        <v>9088.5888000000014</v>
      </c>
      <c r="H8" s="57">
        <f>G8*(1+'Match rev and exp Fig 6'!$E$2)</f>
        <v>9815.6759040000015</v>
      </c>
      <c r="I8" s="57">
        <f>H8*(1+'Match rev and exp Fig 6'!$E$2)</f>
        <v>10600.929976320002</v>
      </c>
      <c r="J8" s="57">
        <f>I8*(1+'Match rev and exp Fig 6'!$E$2)</f>
        <v>11449.004374425602</v>
      </c>
      <c r="K8" s="57">
        <f>J8*(1+'Match rev and exp Fig 6'!$E$2)</f>
        <v>12364.924724379651</v>
      </c>
      <c r="L8" s="57">
        <f>K8*(1+'Match rev and exp Fig 6'!$E$2)</f>
        <v>13354.118702330024</v>
      </c>
      <c r="M8" s="57">
        <f>L8*(1+'Match rev and exp Fig 6'!$E$2)</f>
        <v>14422.448198516428</v>
      </c>
      <c r="N8" s="57">
        <f>M8*(1+'Match rev and exp Fig 6'!$E$2)</f>
        <v>15576.244054397743</v>
      </c>
      <c r="O8" s="57">
        <f>N8*(1+'Match rev and exp Fig 6'!$E$2)</f>
        <v>16822.343578749562</v>
      </c>
      <c r="P8" s="57">
        <f>O8*(1+'Match rev and exp Fig 6'!$E$2)</f>
        <v>18168.131065049529</v>
      </c>
      <c r="Q8" s="58" t="s">
        <v>186</v>
      </c>
    </row>
    <row r="9" spans="1:23" x14ac:dyDescent="0.2">
      <c r="J9" s="47"/>
      <c r="N9" s="47"/>
    </row>
    <row r="10" spans="1:23" x14ac:dyDescent="0.2">
      <c r="B10" s="36">
        <f>B6/1000</f>
        <v>5.5830000000000002</v>
      </c>
      <c r="C10" t="s">
        <v>138</v>
      </c>
      <c r="D10" t="s">
        <v>190</v>
      </c>
    </row>
    <row r="11" spans="1:23" x14ac:dyDescent="0.2">
      <c r="B11" s="35">
        <f>AVERAGE(B6:P6)</f>
        <v>13598.17027256045</v>
      </c>
      <c r="C11" t="s">
        <v>177</v>
      </c>
    </row>
    <row r="13" spans="1:23" x14ac:dyDescent="0.2">
      <c r="B13" s="2"/>
    </row>
    <row r="14" spans="1:23" ht="19" x14ac:dyDescent="0.25">
      <c r="B14" s="94" t="s">
        <v>197</v>
      </c>
      <c r="C14" t="s">
        <v>193</v>
      </c>
    </row>
    <row r="16" spans="1:23" x14ac:dyDescent="0.2">
      <c r="A16" t="s">
        <v>171</v>
      </c>
      <c r="B16" s="2">
        <v>18500</v>
      </c>
    </row>
    <row r="17" spans="1:16" x14ac:dyDescent="0.2">
      <c r="A17" t="s">
        <v>172</v>
      </c>
      <c r="B17" s="2">
        <v>19500</v>
      </c>
    </row>
    <row r="18" spans="1:16" x14ac:dyDescent="0.2">
      <c r="A18" t="s">
        <v>173</v>
      </c>
      <c r="B18" s="60">
        <f>AVERAGE(B16:B17)</f>
        <v>19000</v>
      </c>
      <c r="C18" s="18">
        <f>B18*(1+'Match rev and exp Fig 6'!$E$2)</f>
        <v>20520</v>
      </c>
      <c r="D18" s="18">
        <f>C18*(1+'Match rev and exp Fig 6'!$E$2)</f>
        <v>22161.600000000002</v>
      </c>
      <c r="E18" s="18">
        <f>D18*(1+'Match rev and exp Fig 6'!$E$2)</f>
        <v>23934.528000000006</v>
      </c>
      <c r="F18" s="18">
        <f>E18*(1+'Match rev and exp Fig 6'!$E$2)</f>
        <v>25849.290240000009</v>
      </c>
      <c r="G18" s="18">
        <f>F18*(1+'Match rev and exp Fig 6'!$E$2)</f>
        <v>27917.233459200012</v>
      </c>
      <c r="H18" s="18">
        <f>G18*(1+'Match rev and exp Fig 6'!$E$2)</f>
        <v>30150.612135936015</v>
      </c>
      <c r="I18" s="18">
        <f>H18*(1+'Match rev and exp Fig 6'!$E$2)</f>
        <v>32562.661106810898</v>
      </c>
      <c r="J18" s="18">
        <f>I18*(1+'Match rev and exp Fig 6'!$E$2)</f>
        <v>35167.67399535577</v>
      </c>
      <c r="K18" s="18">
        <f>J18*(1+'Match rev and exp Fig 6'!$E$2)</f>
        <v>37981.087914984237</v>
      </c>
      <c r="L18" s="18">
        <f>K18*(1+'Match rev and exp Fig 6'!$E$2)</f>
        <v>41019.574948182977</v>
      </c>
      <c r="M18" s="18">
        <f>L18*(1+'Match rev and exp Fig 6'!$E$2)</f>
        <v>44301.140944037616</v>
      </c>
      <c r="N18" s="18">
        <f>M18*(1+'Match rev and exp Fig 6'!$E$2)</f>
        <v>47845.232219560625</v>
      </c>
      <c r="O18" s="18">
        <f>N18*(1+'Match rev and exp Fig 6'!$E$2)</f>
        <v>51672.85079712548</v>
      </c>
      <c r="P18" s="18">
        <f>O18*(1+'Match rev and exp Fig 6'!$E$2)</f>
        <v>55806.678860895525</v>
      </c>
    </row>
    <row r="20" spans="1:16" x14ac:dyDescent="0.2">
      <c r="B20" t="s">
        <v>198</v>
      </c>
    </row>
    <row r="21" spans="1:16" x14ac:dyDescent="0.2">
      <c r="B21">
        <f>B5</f>
        <v>2016</v>
      </c>
      <c r="C21">
        <f>C5</f>
        <v>2017</v>
      </c>
      <c r="D21">
        <f t="shared" ref="D21:P21" si="1">D5</f>
        <v>2018</v>
      </c>
      <c r="E21">
        <f t="shared" si="1"/>
        <v>2019</v>
      </c>
      <c r="F21">
        <f t="shared" si="1"/>
        <v>2020</v>
      </c>
      <c r="G21">
        <f t="shared" si="1"/>
        <v>2021</v>
      </c>
      <c r="H21">
        <f t="shared" si="1"/>
        <v>2022</v>
      </c>
      <c r="I21">
        <f t="shared" si="1"/>
        <v>2023</v>
      </c>
      <c r="J21">
        <f t="shared" si="1"/>
        <v>2024</v>
      </c>
      <c r="K21">
        <f t="shared" si="1"/>
        <v>2025</v>
      </c>
      <c r="L21">
        <f t="shared" si="1"/>
        <v>2026</v>
      </c>
      <c r="M21">
        <f t="shared" si="1"/>
        <v>2027</v>
      </c>
      <c r="N21">
        <f t="shared" si="1"/>
        <v>2028</v>
      </c>
      <c r="O21">
        <f t="shared" si="1"/>
        <v>2029</v>
      </c>
      <c r="P21">
        <f t="shared" si="1"/>
        <v>2030</v>
      </c>
    </row>
    <row r="22" spans="1:16" x14ac:dyDescent="0.2">
      <c r="A22" t="s">
        <v>183</v>
      </c>
      <c r="B22" s="61">
        <f>B8*10^6/B18</f>
        <v>293842.10526315792</v>
      </c>
      <c r="C22" s="61">
        <f t="shared" ref="C22:P22" si="2">C8*10^6/C18</f>
        <v>301364.52241715399</v>
      </c>
      <c r="D22" s="61">
        <f t="shared" si="2"/>
        <v>290231.75222005631</v>
      </c>
      <c r="E22" s="61">
        <f>E8*10^6/E18</f>
        <v>325554.78010679793</v>
      </c>
      <c r="F22" s="61">
        <f>F8*10^6/F18</f>
        <v>325554.78010679793</v>
      </c>
      <c r="G22" s="61">
        <f t="shared" si="2"/>
        <v>325554.78010679793</v>
      </c>
      <c r="H22" s="61">
        <f t="shared" si="2"/>
        <v>325554.78010679793</v>
      </c>
      <c r="I22" s="61">
        <f t="shared" si="2"/>
        <v>325554.78010679787</v>
      </c>
      <c r="J22" s="61">
        <f t="shared" si="2"/>
        <v>325554.78010679787</v>
      </c>
      <c r="K22" s="61">
        <f t="shared" si="2"/>
        <v>325554.78010679781</v>
      </c>
      <c r="L22" s="61">
        <f t="shared" si="2"/>
        <v>325554.78010679787</v>
      </c>
      <c r="M22" s="61">
        <f t="shared" si="2"/>
        <v>325554.78010679793</v>
      </c>
      <c r="N22" s="61">
        <f t="shared" si="2"/>
        <v>325554.78010679793</v>
      </c>
      <c r="O22" s="61">
        <f t="shared" si="2"/>
        <v>325554.78010679787</v>
      </c>
      <c r="P22" s="61">
        <f t="shared" si="2"/>
        <v>325554.78010679793</v>
      </c>
    </row>
    <row r="23" spans="1:16" x14ac:dyDescent="0.2">
      <c r="A23" t="s">
        <v>184</v>
      </c>
      <c r="B23" s="62">
        <f>B8/10^3</f>
        <v>5.5830000000000002</v>
      </c>
      <c r="C23" s="62">
        <f t="shared" ref="C23:P23" si="3">C8/10^3</f>
        <v>6.1840000000000002</v>
      </c>
      <c r="D23" s="62">
        <f t="shared" si="3"/>
        <v>6.4320000000000004</v>
      </c>
      <c r="E23" s="62">
        <f t="shared" si="3"/>
        <v>7.7919999999999998</v>
      </c>
      <c r="F23" s="62">
        <f t="shared" si="3"/>
        <v>8.4153599999999997</v>
      </c>
      <c r="G23" s="62">
        <f t="shared" si="3"/>
        <v>9.0885888000000019</v>
      </c>
      <c r="H23" s="62">
        <f t="shared" si="3"/>
        <v>9.8156759040000008</v>
      </c>
      <c r="I23" s="62">
        <f t="shared" si="3"/>
        <v>10.600929976320002</v>
      </c>
      <c r="J23" s="62">
        <f t="shared" si="3"/>
        <v>11.449004374425602</v>
      </c>
      <c r="K23" s="62">
        <f t="shared" si="3"/>
        <v>12.364924724379652</v>
      </c>
      <c r="L23" s="62">
        <f t="shared" si="3"/>
        <v>13.354118702330025</v>
      </c>
      <c r="M23" s="62">
        <f t="shared" si="3"/>
        <v>14.422448198516427</v>
      </c>
      <c r="N23" s="62">
        <f t="shared" si="3"/>
        <v>15.576244054397742</v>
      </c>
      <c r="O23" s="62">
        <f t="shared" si="3"/>
        <v>16.82234357874956</v>
      </c>
      <c r="P23" s="62">
        <f t="shared" si="3"/>
        <v>18.168131065049529</v>
      </c>
    </row>
    <row r="25" spans="1:16" ht="19" x14ac:dyDescent="0.25">
      <c r="B25" s="94" t="s">
        <v>194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x14ac:dyDescent="0.2">
      <c r="A26" t="s">
        <v>253</v>
      </c>
      <c r="B26" s="7">
        <f>AVERAGE(B22:P22)</f>
        <v>319473.04941212951</v>
      </c>
      <c r="C26" t="s">
        <v>179</v>
      </c>
      <c r="D26" s="9">
        <v>260000</v>
      </c>
    </row>
    <row r="27" spans="1:16" x14ac:dyDescent="0.2">
      <c r="C27" t="s">
        <v>190</v>
      </c>
      <c r="D27" s="48" t="s">
        <v>142</v>
      </c>
    </row>
    <row r="29" spans="1:16" x14ac:dyDescent="0.2">
      <c r="D29" s="33" t="s">
        <v>140</v>
      </c>
    </row>
    <row r="30" spans="1:16" x14ac:dyDescent="0.2">
      <c r="D30" s="33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39997558519241921"/>
  </sheetPr>
  <dimension ref="A1:P80"/>
  <sheetViews>
    <sheetView topLeftCell="A9" zoomScale="120" zoomScaleNormal="120" zoomScalePageLayoutView="120" workbookViewId="0">
      <selection activeCell="A17" sqref="A17"/>
    </sheetView>
  </sheetViews>
  <sheetFormatPr baseColWidth="10" defaultRowHeight="16" x14ac:dyDescent="0.2"/>
  <cols>
    <col min="2" max="2" width="16.5" bestFit="1" customWidth="1"/>
  </cols>
  <sheetData>
    <row r="1" spans="1:16" ht="20" x14ac:dyDescent="0.2">
      <c r="A1" s="88" t="s">
        <v>129</v>
      </c>
      <c r="D1" s="28" t="s">
        <v>200</v>
      </c>
      <c r="E1" s="28" t="s">
        <v>191</v>
      </c>
      <c r="F1" s="28" t="s">
        <v>199</v>
      </c>
    </row>
    <row r="3" spans="1:16" ht="19" x14ac:dyDescent="0.25">
      <c r="A3" s="94" t="s">
        <v>201</v>
      </c>
      <c r="B3" s="9">
        <f>AVERAGE(C27:C80)</f>
        <v>2226.2777777777778</v>
      </c>
      <c r="C3" t="s">
        <v>59</v>
      </c>
      <c r="D3" s="9">
        <f>MIN(C27:C80)</f>
        <v>954</v>
      </c>
      <c r="E3" s="9">
        <f>MAX(C27:C80)</f>
        <v>12013</v>
      </c>
    </row>
    <row r="4" spans="1:16" x14ac:dyDescent="0.2">
      <c r="B4" s="70">
        <f>B3/100</f>
        <v>22.262777777777778</v>
      </c>
      <c r="C4" t="s">
        <v>60</v>
      </c>
      <c r="D4" s="15">
        <f>D3/100</f>
        <v>9.5399999999999991</v>
      </c>
      <c r="E4" s="15">
        <f>E3/100</f>
        <v>120.13</v>
      </c>
    </row>
    <row r="5" spans="1:16" x14ac:dyDescent="0.2">
      <c r="B5" s="59" t="s">
        <v>202</v>
      </c>
      <c r="C5" s="59"/>
      <c r="D5" s="59" t="s">
        <v>203</v>
      </c>
      <c r="E5" s="59" t="s">
        <v>204</v>
      </c>
    </row>
    <row r="6" spans="1:16" x14ac:dyDescent="0.2">
      <c r="B6" s="70"/>
      <c r="D6" s="15"/>
      <c r="E6" s="15"/>
    </row>
    <row r="7" spans="1:16" x14ac:dyDescent="0.2">
      <c r="B7">
        <v>2016</v>
      </c>
      <c r="C7">
        <v>2017</v>
      </c>
      <c r="D7">
        <v>2018</v>
      </c>
      <c r="E7">
        <v>2019</v>
      </c>
      <c r="F7">
        <v>2020</v>
      </c>
      <c r="G7">
        <v>2021</v>
      </c>
      <c r="H7">
        <v>2022</v>
      </c>
      <c r="I7">
        <v>2023</v>
      </c>
      <c r="J7">
        <v>2024</v>
      </c>
      <c r="K7">
        <v>2025</v>
      </c>
      <c r="L7">
        <v>2026</v>
      </c>
      <c r="M7">
        <v>2027</v>
      </c>
      <c r="N7">
        <v>2028</v>
      </c>
      <c r="O7">
        <v>2029</v>
      </c>
      <c r="P7">
        <v>2030</v>
      </c>
    </row>
    <row r="8" spans="1:16" x14ac:dyDescent="0.2">
      <c r="A8" t="s">
        <v>207</v>
      </c>
      <c r="B8" s="72">
        <f>B4</f>
        <v>22.262777777777778</v>
      </c>
      <c r="C8" s="72">
        <f>B8*(1+'Match rev and exp Fig 6'!$E$2)</f>
        <v>24.043800000000001</v>
      </c>
      <c r="D8" s="72">
        <f>C8*(1+'Match rev and exp Fig 6'!$E$2)</f>
        <v>25.967304000000002</v>
      </c>
      <c r="E8" s="72">
        <f>D8*(1+'Match rev and exp Fig 6'!$E$2)</f>
        <v>28.044688320000006</v>
      </c>
      <c r="F8" s="72">
        <f>E8*(1+'Match rev and exp Fig 6'!$E$2)</f>
        <v>30.288263385600008</v>
      </c>
      <c r="G8" s="72">
        <f>F8*(1+'Match rev and exp Fig 6'!$E$2)</f>
        <v>32.711324456448011</v>
      </c>
      <c r="H8" s="72">
        <f>G8*(1+'Match rev and exp Fig 6'!$E$2)</f>
        <v>35.328230412963855</v>
      </c>
      <c r="I8" s="72">
        <f>H8*(1+'Match rev and exp Fig 6'!$E$2)</f>
        <v>38.154488846000966</v>
      </c>
      <c r="J8" s="72">
        <f>I8*(1+'Match rev and exp Fig 6'!$E$2)</f>
        <v>41.206847953681049</v>
      </c>
      <c r="K8" s="72">
        <f>J8*(1+'Match rev and exp Fig 6'!$E$2)</f>
        <v>44.503395789975535</v>
      </c>
      <c r="L8" s="72">
        <f>K8*(1+'Match rev and exp Fig 6'!$E$2)</f>
        <v>48.063667453173579</v>
      </c>
      <c r="M8" s="72">
        <f>L8*(1+'Match rev and exp Fig 6'!$E$2)</f>
        <v>51.908760849427466</v>
      </c>
      <c r="N8" s="72">
        <f>M8*(1+'Match rev and exp Fig 6'!$E$2)</f>
        <v>56.061461717381668</v>
      </c>
      <c r="O8" s="72">
        <f>N8*(1+'Match rev and exp Fig 6'!$E$2)</f>
        <v>60.546378654772205</v>
      </c>
      <c r="P8" s="72">
        <f>O8*(1+'Match rev and exp Fig 6'!$E$2)</f>
        <v>65.390088947153984</v>
      </c>
    </row>
    <row r="9" spans="1:16" x14ac:dyDescent="0.2">
      <c r="B9" s="15"/>
    </row>
    <row r="10" spans="1:16" x14ac:dyDescent="0.2">
      <c r="B10" s="15"/>
    </row>
    <row r="11" spans="1:16" x14ac:dyDescent="0.2">
      <c r="B11">
        <v>5</v>
      </c>
      <c r="C11" t="s">
        <v>61</v>
      </c>
      <c r="D11" t="s">
        <v>205</v>
      </c>
    </row>
    <row r="12" spans="1:16" x14ac:dyDescent="0.2">
      <c r="B12" s="9">
        <v>1000000</v>
      </c>
      <c r="C12" t="s">
        <v>62</v>
      </c>
      <c r="D12" t="s">
        <v>206</v>
      </c>
    </row>
    <row r="13" spans="1:16" x14ac:dyDescent="0.2">
      <c r="B13">
        <v>12</v>
      </c>
      <c r="C13" t="s">
        <v>63</v>
      </c>
      <c r="F13" s="64"/>
    </row>
    <row r="14" spans="1:16" x14ac:dyDescent="0.2">
      <c r="B14" s="7">
        <f>B11*B12*B13</f>
        <v>60000000</v>
      </c>
      <c r="C14" t="s">
        <v>64</v>
      </c>
      <c r="F14" s="64"/>
    </row>
    <row r="15" spans="1:16" x14ac:dyDescent="0.2">
      <c r="B15" s="2">
        <f>B14*B8</f>
        <v>1335766666.6666667</v>
      </c>
      <c r="C15" s="2" t="s">
        <v>65</v>
      </c>
      <c r="F15" s="64"/>
    </row>
    <row r="16" spans="1:16" x14ac:dyDescent="0.2">
      <c r="B16" s="73">
        <f>B15/10^9</f>
        <v>1.3357666666666668</v>
      </c>
      <c r="C16" t="s">
        <v>66</v>
      </c>
      <c r="F16" s="64"/>
    </row>
    <row r="17" spans="1:16" ht="19" x14ac:dyDescent="0.25">
      <c r="A17" s="94" t="s">
        <v>208</v>
      </c>
      <c r="F17" s="64"/>
    </row>
    <row r="18" spans="1:16" x14ac:dyDescent="0.2">
      <c r="B18">
        <v>2016</v>
      </c>
      <c r="C18">
        <v>2017</v>
      </c>
      <c r="D18">
        <v>2018</v>
      </c>
      <c r="E18">
        <v>2019</v>
      </c>
      <c r="F18">
        <v>2020</v>
      </c>
      <c r="G18">
        <v>2021</v>
      </c>
      <c r="H18">
        <v>2022</v>
      </c>
      <c r="I18">
        <v>2023</v>
      </c>
      <c r="J18">
        <v>2024</v>
      </c>
      <c r="K18">
        <v>2025</v>
      </c>
      <c r="L18">
        <v>2026</v>
      </c>
      <c r="M18">
        <v>2027</v>
      </c>
      <c r="N18">
        <v>2028</v>
      </c>
      <c r="O18">
        <v>2029</v>
      </c>
      <c r="P18">
        <v>2030</v>
      </c>
    </row>
    <row r="19" spans="1:16" x14ac:dyDescent="0.2">
      <c r="A19" t="s">
        <v>209</v>
      </c>
      <c r="B19" s="71">
        <f>$B$14*B8/10^9</f>
        <v>1.3357666666666668</v>
      </c>
      <c r="C19" s="71">
        <f t="shared" ref="C19:P19" si="0">$B$14*C8/10^9</f>
        <v>1.442628</v>
      </c>
      <c r="D19" s="71">
        <f t="shared" si="0"/>
        <v>1.5580382400000001</v>
      </c>
      <c r="E19" s="71">
        <f t="shared" si="0"/>
        <v>1.6826812992000002</v>
      </c>
      <c r="F19" s="71">
        <f t="shared" si="0"/>
        <v>1.8172958031360005</v>
      </c>
      <c r="G19" s="71">
        <f t="shared" si="0"/>
        <v>1.9626794673868806</v>
      </c>
      <c r="H19" s="71">
        <f t="shared" si="0"/>
        <v>2.1196938247778312</v>
      </c>
      <c r="I19" s="71">
        <f t="shared" si="0"/>
        <v>2.289269330760058</v>
      </c>
      <c r="J19" s="71">
        <f t="shared" si="0"/>
        <v>2.4724108772208631</v>
      </c>
      <c r="K19" s="71">
        <f t="shared" si="0"/>
        <v>2.6702037473985318</v>
      </c>
      <c r="L19" s="71">
        <f t="shared" si="0"/>
        <v>2.8838200471904147</v>
      </c>
      <c r="M19" s="71">
        <f t="shared" si="0"/>
        <v>3.114525650965648</v>
      </c>
      <c r="N19" s="71">
        <f t="shared" si="0"/>
        <v>3.3636877030429</v>
      </c>
      <c r="O19" s="71">
        <f t="shared" si="0"/>
        <v>3.632782719286332</v>
      </c>
      <c r="P19" s="71">
        <f t="shared" si="0"/>
        <v>3.923405336829239</v>
      </c>
    </row>
    <row r="20" spans="1:16" x14ac:dyDescent="0.2">
      <c r="B20" s="15"/>
    </row>
    <row r="21" spans="1:16" x14ac:dyDescent="0.2">
      <c r="F21" s="64"/>
    </row>
    <row r="22" spans="1:16" x14ac:dyDescent="0.2">
      <c r="B22" t="s">
        <v>266</v>
      </c>
      <c r="C22" t="s">
        <v>191</v>
      </c>
      <c r="F22" s="64"/>
    </row>
    <row r="23" spans="1:16" ht="17" x14ac:dyDescent="0.2">
      <c r="B23" s="65"/>
      <c r="C23" s="66"/>
      <c r="F23" s="64"/>
    </row>
    <row r="24" spans="1:16" x14ac:dyDescent="0.2">
      <c r="B24" s="66"/>
      <c r="C24" s="66"/>
      <c r="F24" s="64"/>
    </row>
    <row r="25" spans="1:16" ht="34" x14ac:dyDescent="0.2">
      <c r="B25" s="95"/>
      <c r="C25" s="67" t="s">
        <v>3</v>
      </c>
      <c r="F25" s="64"/>
    </row>
    <row r="26" spans="1:16" ht="17" x14ac:dyDescent="0.2">
      <c r="B26" s="95"/>
      <c r="C26" s="67" t="s">
        <v>4</v>
      </c>
      <c r="F26" s="64"/>
    </row>
    <row r="27" spans="1:16" ht="17" x14ac:dyDescent="0.2">
      <c r="B27" s="68" t="s">
        <v>5</v>
      </c>
      <c r="C27" s="69">
        <v>1877</v>
      </c>
      <c r="F27" s="64"/>
    </row>
    <row r="28" spans="1:16" ht="17" x14ac:dyDescent="0.2">
      <c r="B28" s="68" t="s">
        <v>6</v>
      </c>
      <c r="C28" s="69">
        <v>1888</v>
      </c>
      <c r="F28" s="64"/>
    </row>
    <row r="29" spans="1:16" ht="17" x14ac:dyDescent="0.2">
      <c r="B29" s="68" t="s">
        <v>7</v>
      </c>
      <c r="C29" s="69">
        <v>1896</v>
      </c>
      <c r="F29" s="64"/>
    </row>
    <row r="30" spans="1:16" ht="17" x14ac:dyDescent="0.2">
      <c r="B30" s="68" t="s">
        <v>8</v>
      </c>
      <c r="C30" s="69">
        <v>1910</v>
      </c>
      <c r="F30" s="64"/>
    </row>
    <row r="31" spans="1:16" ht="17" x14ac:dyDescent="0.2">
      <c r="B31" s="68" t="s">
        <v>9</v>
      </c>
      <c r="C31" s="69">
        <v>1928</v>
      </c>
      <c r="F31" s="64"/>
    </row>
    <row r="32" spans="1:16" ht="17" x14ac:dyDescent="0.2">
      <c r="B32" s="68" t="s">
        <v>10</v>
      </c>
      <c r="C32" s="69">
        <v>1953</v>
      </c>
      <c r="F32" s="64"/>
    </row>
    <row r="33" spans="2:6" ht="17" x14ac:dyDescent="0.2">
      <c r="B33" s="68" t="s">
        <v>11</v>
      </c>
      <c r="C33" s="69">
        <v>1974</v>
      </c>
      <c r="F33" s="64"/>
    </row>
    <row r="34" spans="2:6" ht="17" x14ac:dyDescent="0.2">
      <c r="B34" s="68" t="s">
        <v>12</v>
      </c>
      <c r="C34" s="69">
        <v>2017</v>
      </c>
      <c r="F34" s="64"/>
    </row>
    <row r="35" spans="2:6" ht="17" x14ac:dyDescent="0.2">
      <c r="B35" s="68" t="s">
        <v>13</v>
      </c>
      <c r="C35" s="69">
        <v>2057</v>
      </c>
      <c r="F35" s="64"/>
    </row>
    <row r="36" spans="2:6" ht="17" x14ac:dyDescent="0.2">
      <c r="B36" s="65" t="s">
        <v>14</v>
      </c>
      <c r="C36" s="69">
        <v>2093</v>
      </c>
      <c r="F36" s="64"/>
    </row>
    <row r="37" spans="2:6" ht="17" x14ac:dyDescent="0.2">
      <c r="B37" s="65" t="s">
        <v>15</v>
      </c>
      <c r="C37" s="69">
        <v>2129</v>
      </c>
      <c r="F37" s="64"/>
    </row>
    <row r="38" spans="2:6" ht="17" x14ac:dyDescent="0.2">
      <c r="B38" s="65" t="s">
        <v>16</v>
      </c>
      <c r="C38" s="69">
        <v>2263</v>
      </c>
      <c r="F38" s="64"/>
    </row>
    <row r="39" spans="2:6" ht="17" x14ac:dyDescent="0.2">
      <c r="B39" s="65" t="s">
        <v>17</v>
      </c>
      <c r="C39" s="69">
        <v>2109</v>
      </c>
      <c r="F39" s="64"/>
    </row>
    <row r="40" spans="2:6" ht="17" x14ac:dyDescent="0.2">
      <c r="B40" s="65" t="s">
        <v>18</v>
      </c>
      <c r="C40" s="69">
        <v>2171</v>
      </c>
      <c r="E40" s="64"/>
      <c r="F40" s="64"/>
    </row>
    <row r="41" spans="2:6" ht="17" x14ac:dyDescent="0.2">
      <c r="B41" s="65" t="s">
        <v>19</v>
      </c>
      <c r="C41" s="69">
        <v>2162</v>
      </c>
      <c r="E41" s="64"/>
      <c r="F41" s="64"/>
    </row>
    <row r="42" spans="2:6" ht="17" x14ac:dyDescent="0.2">
      <c r="B42" s="65" t="s">
        <v>20</v>
      </c>
      <c r="C42" s="69">
        <v>1974</v>
      </c>
      <c r="E42" s="64"/>
      <c r="F42" s="64"/>
    </row>
    <row r="43" spans="2:6" ht="17" x14ac:dyDescent="0.2">
      <c r="B43" s="65" t="s">
        <v>21</v>
      </c>
      <c r="C43" s="69">
        <v>2162</v>
      </c>
      <c r="E43" s="64"/>
      <c r="F43" s="64"/>
    </row>
    <row r="44" spans="2:6" ht="17" x14ac:dyDescent="0.2">
      <c r="B44" s="68" t="s">
        <v>22</v>
      </c>
      <c r="C44" s="69">
        <v>1912</v>
      </c>
      <c r="E44" s="64"/>
      <c r="F44" s="64"/>
    </row>
    <row r="45" spans="2:6" ht="17" x14ac:dyDescent="0.2">
      <c r="B45" s="68" t="s">
        <v>23</v>
      </c>
      <c r="C45" s="69">
        <v>1935</v>
      </c>
      <c r="E45" s="64"/>
      <c r="F45" s="64"/>
    </row>
    <row r="46" spans="2:6" ht="17" x14ac:dyDescent="0.2">
      <c r="B46" s="68" t="s">
        <v>24</v>
      </c>
      <c r="C46" s="69">
        <v>1925</v>
      </c>
      <c r="E46" s="64"/>
      <c r="F46" s="64"/>
    </row>
    <row r="47" spans="2:6" ht="17" x14ac:dyDescent="0.2">
      <c r="B47" s="68" t="s">
        <v>25</v>
      </c>
      <c r="C47" s="69">
        <v>1938</v>
      </c>
      <c r="E47" s="64"/>
      <c r="F47" s="64"/>
    </row>
    <row r="48" spans="2:6" ht="17" x14ac:dyDescent="0.2">
      <c r="B48" s="68" t="s">
        <v>26</v>
      </c>
      <c r="C48" s="69">
        <v>1970</v>
      </c>
      <c r="E48" s="64"/>
      <c r="F48" s="64"/>
    </row>
    <row r="49" spans="2:6" ht="17" x14ac:dyDescent="0.2">
      <c r="B49" s="68" t="s">
        <v>27</v>
      </c>
      <c r="C49" s="69">
        <v>1961</v>
      </c>
      <c r="E49" s="64"/>
      <c r="F49" s="64"/>
    </row>
    <row r="50" spans="2:6" ht="17" x14ac:dyDescent="0.2">
      <c r="B50" s="65" t="s">
        <v>28</v>
      </c>
      <c r="C50" s="69">
        <v>1985</v>
      </c>
      <c r="E50" s="64"/>
      <c r="F50" s="64"/>
    </row>
    <row r="51" spans="2:6" ht="17" x14ac:dyDescent="0.2">
      <c r="B51" s="65" t="s">
        <v>29</v>
      </c>
      <c r="C51" s="69">
        <v>1999</v>
      </c>
      <c r="E51" s="64"/>
      <c r="F51" s="64"/>
    </row>
    <row r="52" spans="2:6" ht="17" x14ac:dyDescent="0.2">
      <c r="B52" s="65" t="s">
        <v>30</v>
      </c>
      <c r="C52" s="69">
        <v>12013</v>
      </c>
      <c r="E52" s="64"/>
      <c r="F52" s="64"/>
    </row>
    <row r="53" spans="2:6" ht="17" x14ac:dyDescent="0.2">
      <c r="B53" s="68" t="s">
        <v>31</v>
      </c>
      <c r="C53" s="69">
        <v>954</v>
      </c>
      <c r="E53" s="64"/>
      <c r="F53" s="64"/>
    </row>
    <row r="54" spans="2:6" ht="17" x14ac:dyDescent="0.2">
      <c r="B54" s="68" t="s">
        <v>32</v>
      </c>
      <c r="C54" s="69">
        <v>1965</v>
      </c>
      <c r="E54" s="64"/>
      <c r="F54" s="64"/>
    </row>
    <row r="55" spans="2:6" ht="17" x14ac:dyDescent="0.2">
      <c r="B55" s="68" t="s">
        <v>33</v>
      </c>
      <c r="C55" s="69">
        <v>1996</v>
      </c>
      <c r="E55" s="64"/>
      <c r="F55" s="64"/>
    </row>
    <row r="56" spans="2:6" ht="17" x14ac:dyDescent="0.2">
      <c r="B56" s="68" t="s">
        <v>34</v>
      </c>
      <c r="C56" s="69">
        <v>2032</v>
      </c>
      <c r="E56" s="64"/>
      <c r="F56" s="64"/>
    </row>
    <row r="57" spans="2:6" ht="17" x14ac:dyDescent="0.2">
      <c r="B57" s="68" t="s">
        <v>35</v>
      </c>
      <c r="C57" s="69">
        <v>2059</v>
      </c>
      <c r="E57" s="64"/>
      <c r="F57" s="64"/>
    </row>
    <row r="58" spans="2:6" ht="17" x14ac:dyDescent="0.2">
      <c r="B58" s="65" t="s">
        <v>36</v>
      </c>
      <c r="C58" s="69">
        <v>2092</v>
      </c>
      <c r="E58" s="64"/>
      <c r="F58" s="64"/>
    </row>
    <row r="59" spans="2:6" ht="17" x14ac:dyDescent="0.2">
      <c r="B59" s="65" t="s">
        <v>37</v>
      </c>
      <c r="C59" s="69">
        <v>2117</v>
      </c>
      <c r="E59" s="64"/>
      <c r="F59" s="64"/>
    </row>
    <row r="60" spans="2:6" ht="17" x14ac:dyDescent="0.2">
      <c r="B60" s="65" t="s">
        <v>38</v>
      </c>
      <c r="C60" s="69">
        <v>2164</v>
      </c>
      <c r="E60" s="64"/>
      <c r="F60" s="64"/>
    </row>
    <row r="61" spans="2:6" ht="17" x14ac:dyDescent="0.2">
      <c r="B61" s="65" t="s">
        <v>39</v>
      </c>
      <c r="C61" s="69">
        <v>2183</v>
      </c>
      <c r="E61" s="64"/>
      <c r="F61" s="64"/>
    </row>
    <row r="62" spans="2:6" ht="17" x14ac:dyDescent="0.2">
      <c r="B62" s="65" t="s">
        <v>40</v>
      </c>
      <c r="C62" s="69">
        <v>2210</v>
      </c>
      <c r="E62" s="64"/>
      <c r="F62" s="64"/>
    </row>
    <row r="63" spans="2:6" ht="17" x14ac:dyDescent="0.2">
      <c r="B63" s="65" t="s">
        <v>41</v>
      </c>
      <c r="C63" s="69">
        <v>2190</v>
      </c>
      <c r="E63" s="64"/>
      <c r="F63" s="64"/>
    </row>
    <row r="64" spans="2:6" ht="17" x14ac:dyDescent="0.2">
      <c r="B64" s="65" t="s">
        <v>42</v>
      </c>
      <c r="C64" s="69">
        <v>2176</v>
      </c>
      <c r="E64" s="64"/>
      <c r="F64" s="64"/>
    </row>
    <row r="65" spans="2:6" ht="17" x14ac:dyDescent="0.2">
      <c r="B65" s="65" t="s">
        <v>43</v>
      </c>
      <c r="C65" s="69">
        <v>2236</v>
      </c>
      <c r="E65" s="64"/>
      <c r="F65" s="64"/>
    </row>
    <row r="66" spans="2:6" ht="17" x14ac:dyDescent="0.2">
      <c r="B66" s="65" t="s">
        <v>44</v>
      </c>
      <c r="C66" s="69">
        <v>1996</v>
      </c>
      <c r="E66" s="64"/>
      <c r="F66" s="64"/>
    </row>
    <row r="67" spans="2:6" ht="17" x14ac:dyDescent="0.2">
      <c r="B67" s="65" t="s">
        <v>45</v>
      </c>
      <c r="C67" s="69">
        <v>2032</v>
      </c>
      <c r="E67" s="64"/>
      <c r="F67" s="64"/>
    </row>
    <row r="68" spans="2:6" ht="17" x14ac:dyDescent="0.2">
      <c r="B68" s="65" t="s">
        <v>46</v>
      </c>
      <c r="C68" s="69">
        <v>2092</v>
      </c>
      <c r="E68" s="64"/>
      <c r="F68" s="64"/>
    </row>
    <row r="69" spans="2:6" ht="17" x14ac:dyDescent="0.2">
      <c r="B69" s="65" t="s">
        <v>47</v>
      </c>
      <c r="C69" s="69">
        <v>2117</v>
      </c>
    </row>
    <row r="70" spans="2:6" ht="17" x14ac:dyDescent="0.2">
      <c r="B70" s="65" t="s">
        <v>48</v>
      </c>
      <c r="C70" s="69">
        <v>2164</v>
      </c>
    </row>
    <row r="71" spans="2:6" ht="17" x14ac:dyDescent="0.2">
      <c r="B71" s="65" t="s">
        <v>49</v>
      </c>
      <c r="C71" s="69">
        <v>2183</v>
      </c>
    </row>
    <row r="72" spans="2:6" ht="17" x14ac:dyDescent="0.2">
      <c r="B72" s="65" t="s">
        <v>50</v>
      </c>
      <c r="C72" s="69">
        <v>2210</v>
      </c>
    </row>
    <row r="73" spans="2:6" ht="17" x14ac:dyDescent="0.2">
      <c r="B73" s="65" t="s">
        <v>51</v>
      </c>
      <c r="C73" s="69">
        <v>2236</v>
      </c>
    </row>
    <row r="74" spans="2:6" ht="17" x14ac:dyDescent="0.2">
      <c r="B74" s="65" t="s">
        <v>52</v>
      </c>
      <c r="C74" s="69">
        <v>2021</v>
      </c>
    </row>
    <row r="75" spans="2:6" ht="17" x14ac:dyDescent="0.2">
      <c r="B75" s="65" t="s">
        <v>53</v>
      </c>
      <c r="C75" s="69">
        <v>2064</v>
      </c>
    </row>
    <row r="76" spans="2:6" ht="17" x14ac:dyDescent="0.2">
      <c r="B76" s="65" t="s">
        <v>54</v>
      </c>
      <c r="C76" s="69">
        <v>2096</v>
      </c>
    </row>
    <row r="77" spans="2:6" ht="17" x14ac:dyDescent="0.2">
      <c r="B77" s="65" t="s">
        <v>55</v>
      </c>
      <c r="C77" s="69">
        <v>2091</v>
      </c>
    </row>
    <row r="78" spans="2:6" ht="17" x14ac:dyDescent="0.2">
      <c r="B78" s="65" t="s">
        <v>56</v>
      </c>
      <c r="C78" s="69">
        <v>2105</v>
      </c>
    </row>
    <row r="79" spans="2:6" ht="17" x14ac:dyDescent="0.2">
      <c r="B79" s="65" t="s">
        <v>57</v>
      </c>
      <c r="C79" s="69">
        <v>2104</v>
      </c>
    </row>
    <row r="80" spans="2:6" ht="17" x14ac:dyDescent="0.2">
      <c r="B80" s="65" t="s">
        <v>58</v>
      </c>
      <c r="C80" s="69">
        <v>2133</v>
      </c>
    </row>
  </sheetData>
  <mergeCells count="1">
    <mergeCell ref="B25:B26"/>
  </mergeCells>
  <pageMargins left="0.75" right="0.75" top="1" bottom="1" header="0.5" footer="0.5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39997558519241921"/>
  </sheetPr>
  <dimension ref="A1:AJ29"/>
  <sheetViews>
    <sheetView zoomScale="107" workbookViewId="0">
      <selection activeCell="E3" sqref="E3:F3"/>
    </sheetView>
  </sheetViews>
  <sheetFormatPr baseColWidth="10" defaultRowHeight="16" x14ac:dyDescent="0.2"/>
  <cols>
    <col min="1" max="1" width="19" customWidth="1"/>
    <col min="2" max="2" width="13.1640625" bestFit="1" customWidth="1"/>
    <col min="3" max="3" width="18.83203125" customWidth="1"/>
    <col min="5" max="5" width="17.83203125" bestFit="1" customWidth="1"/>
  </cols>
  <sheetData>
    <row r="1" spans="1:36" ht="20" x14ac:dyDescent="0.2">
      <c r="A1" s="88" t="s">
        <v>267</v>
      </c>
      <c r="D1" s="28" t="s">
        <v>189</v>
      </c>
      <c r="E1" s="28" t="s">
        <v>213</v>
      </c>
      <c r="F1" s="28" t="s">
        <v>210</v>
      </c>
    </row>
    <row r="2" spans="1:36" x14ac:dyDescent="0.2">
      <c r="D2" s="28"/>
      <c r="E2" s="28" t="s">
        <v>211</v>
      </c>
      <c r="F2" s="28" t="s">
        <v>211</v>
      </c>
      <c r="G2" s="28" t="s">
        <v>212</v>
      </c>
    </row>
    <row r="3" spans="1:36" x14ac:dyDescent="0.2">
      <c r="E3" s="28" t="s">
        <v>275</v>
      </c>
      <c r="F3" s="28" t="s">
        <v>276</v>
      </c>
    </row>
    <row r="4" spans="1:36" ht="19" x14ac:dyDescent="0.25">
      <c r="B4" s="94" t="s">
        <v>215</v>
      </c>
      <c r="G4" s="34"/>
    </row>
    <row r="5" spans="1:36" x14ac:dyDescent="0.2">
      <c r="A5" t="s">
        <v>120</v>
      </c>
      <c r="B5" s="9">
        <f>(E5+G5)/2</f>
        <v>2000000</v>
      </c>
      <c r="C5" t="s">
        <v>130</v>
      </c>
      <c r="E5">
        <v>2100000</v>
      </c>
      <c r="F5" t="s">
        <v>213</v>
      </c>
      <c r="G5">
        <v>1900000</v>
      </c>
      <c r="H5" t="s">
        <v>214</v>
      </c>
    </row>
    <row r="6" spans="1:36" x14ac:dyDescent="0.2">
      <c r="B6" s="7">
        <f>B5/20</f>
        <v>100000</v>
      </c>
      <c r="C6" t="s">
        <v>131</v>
      </c>
    </row>
    <row r="7" spans="1:36" x14ac:dyDescent="0.2">
      <c r="B7" s="7"/>
    </row>
    <row r="8" spans="1:36" x14ac:dyDescent="0.2">
      <c r="A8" s="63" t="s">
        <v>121</v>
      </c>
      <c r="B8" s="9">
        <f>3.8*10^6</f>
        <v>3800000</v>
      </c>
      <c r="C8" t="s">
        <v>123</v>
      </c>
      <c r="D8" t="s">
        <v>213</v>
      </c>
    </row>
    <row r="9" spans="1:36" x14ac:dyDescent="0.2">
      <c r="B9">
        <v>20</v>
      </c>
      <c r="C9" t="s">
        <v>122</v>
      </c>
    </row>
    <row r="10" spans="1:36" x14ac:dyDescent="0.2">
      <c r="B10" s="7">
        <f>B8/B9</f>
        <v>190000</v>
      </c>
      <c r="C10" t="s">
        <v>216</v>
      </c>
    </row>
    <row r="11" spans="1:36" x14ac:dyDescent="0.2">
      <c r="B11">
        <v>140000</v>
      </c>
      <c r="C11" t="s">
        <v>217</v>
      </c>
      <c r="D11" t="s">
        <v>211</v>
      </c>
    </row>
    <row r="12" spans="1:36" x14ac:dyDescent="0.2">
      <c r="B12">
        <v>250000</v>
      </c>
      <c r="C12" t="s">
        <v>124</v>
      </c>
      <c r="Q12" t="s">
        <v>220</v>
      </c>
    </row>
    <row r="13" spans="1:36" x14ac:dyDescent="0.2">
      <c r="A13" t="s">
        <v>218</v>
      </c>
      <c r="B13">
        <v>1</v>
      </c>
      <c r="C13">
        <v>2</v>
      </c>
      <c r="D13">
        <v>3</v>
      </c>
      <c r="E13">
        <v>4</v>
      </c>
      <c r="F13">
        <v>5</v>
      </c>
      <c r="G13">
        <v>6</v>
      </c>
      <c r="H13">
        <v>7</v>
      </c>
      <c r="I13">
        <v>8</v>
      </c>
      <c r="J13">
        <v>9</v>
      </c>
      <c r="K13">
        <v>10</v>
      </c>
      <c r="L13">
        <v>11</v>
      </c>
      <c r="M13">
        <v>12</v>
      </c>
      <c r="N13">
        <v>13</v>
      </c>
      <c r="O13">
        <v>14</v>
      </c>
      <c r="P13">
        <v>15</v>
      </c>
      <c r="Q13" s="41">
        <v>16</v>
      </c>
      <c r="R13" s="41">
        <v>17</v>
      </c>
      <c r="S13" s="41">
        <v>18</v>
      </c>
      <c r="T13" s="41">
        <v>19</v>
      </c>
      <c r="U13" s="41">
        <v>20</v>
      </c>
      <c r="V13" s="41">
        <v>21</v>
      </c>
      <c r="W13" s="41">
        <v>22</v>
      </c>
      <c r="X13" s="41">
        <v>23</v>
      </c>
      <c r="Y13" s="41">
        <v>24</v>
      </c>
      <c r="Z13" s="41">
        <v>25</v>
      </c>
      <c r="AA13" s="41"/>
      <c r="AB13" s="41"/>
      <c r="AC13" s="41"/>
      <c r="AD13" s="41"/>
      <c r="AE13" s="41"/>
      <c r="AF13" s="41"/>
      <c r="AG13" s="41"/>
      <c r="AH13" s="41"/>
      <c r="AI13" s="41"/>
      <c r="AJ13" s="41"/>
    </row>
    <row r="14" spans="1:36" x14ac:dyDescent="0.2">
      <c r="B14">
        <v>2016</v>
      </c>
      <c r="C14">
        <v>2017</v>
      </c>
      <c r="D14">
        <v>2018</v>
      </c>
      <c r="E14">
        <v>2019</v>
      </c>
      <c r="F14">
        <v>2020</v>
      </c>
      <c r="G14">
        <v>2021</v>
      </c>
      <c r="H14">
        <v>2022</v>
      </c>
      <c r="I14">
        <v>2023</v>
      </c>
      <c r="J14">
        <v>2024</v>
      </c>
      <c r="K14">
        <v>2025</v>
      </c>
      <c r="L14">
        <v>2026</v>
      </c>
      <c r="M14">
        <v>2027</v>
      </c>
      <c r="N14">
        <v>2028</v>
      </c>
      <c r="O14">
        <v>2029</v>
      </c>
      <c r="P14">
        <v>2030</v>
      </c>
      <c r="Q14" s="41">
        <v>2031</v>
      </c>
      <c r="R14" s="41">
        <v>2032</v>
      </c>
      <c r="S14" s="41">
        <v>2033</v>
      </c>
      <c r="T14" s="41">
        <v>2034</v>
      </c>
      <c r="U14" s="41">
        <v>2035</v>
      </c>
      <c r="V14" s="41">
        <v>2036</v>
      </c>
      <c r="W14" s="41">
        <v>2037</v>
      </c>
      <c r="X14" s="41">
        <v>2038</v>
      </c>
      <c r="Y14" s="41">
        <v>2039</v>
      </c>
      <c r="Z14" s="41">
        <v>2040</v>
      </c>
      <c r="AA14" s="41"/>
      <c r="AB14" s="41"/>
      <c r="AC14" s="41"/>
      <c r="AD14" s="41"/>
      <c r="AE14" s="41"/>
      <c r="AF14" s="41"/>
      <c r="AG14" s="41"/>
      <c r="AH14" s="41"/>
      <c r="AI14" s="41"/>
      <c r="AJ14" s="41"/>
    </row>
    <row r="15" spans="1:36" x14ac:dyDescent="0.2">
      <c r="A15" t="s">
        <v>132</v>
      </c>
      <c r="B15" s="7">
        <f>B5</f>
        <v>2000000</v>
      </c>
      <c r="C15" s="7">
        <f t="shared" ref="C15:Z15" si="0">B15+$B$6-$B$10</f>
        <v>1910000</v>
      </c>
      <c r="D15" s="7">
        <f t="shared" si="0"/>
        <v>1820000</v>
      </c>
      <c r="E15" s="7">
        <f t="shared" si="0"/>
        <v>1730000</v>
      </c>
      <c r="F15" s="7">
        <f t="shared" si="0"/>
        <v>1640000</v>
      </c>
      <c r="G15" s="7">
        <f t="shared" si="0"/>
        <v>1550000</v>
      </c>
      <c r="H15" s="7">
        <f t="shared" si="0"/>
        <v>1460000</v>
      </c>
      <c r="I15" s="7">
        <f t="shared" si="0"/>
        <v>1370000</v>
      </c>
      <c r="J15" s="7">
        <f t="shared" si="0"/>
        <v>1280000</v>
      </c>
      <c r="K15" s="7">
        <f t="shared" si="0"/>
        <v>1190000</v>
      </c>
      <c r="L15" s="7">
        <f t="shared" si="0"/>
        <v>1100000</v>
      </c>
      <c r="M15" s="7">
        <f t="shared" si="0"/>
        <v>1010000</v>
      </c>
      <c r="N15" s="7">
        <f t="shared" si="0"/>
        <v>920000</v>
      </c>
      <c r="O15" s="7">
        <f t="shared" si="0"/>
        <v>830000</v>
      </c>
      <c r="P15" s="7">
        <f t="shared" si="0"/>
        <v>740000</v>
      </c>
      <c r="Q15" s="74">
        <f t="shared" si="0"/>
        <v>650000</v>
      </c>
      <c r="R15" s="74">
        <f t="shared" si="0"/>
        <v>560000</v>
      </c>
      <c r="S15" s="74">
        <f t="shared" si="0"/>
        <v>470000</v>
      </c>
      <c r="T15" s="74">
        <f t="shared" si="0"/>
        <v>380000</v>
      </c>
      <c r="U15" s="74">
        <f t="shared" si="0"/>
        <v>290000</v>
      </c>
      <c r="V15" s="74">
        <f t="shared" si="0"/>
        <v>200000</v>
      </c>
      <c r="W15" s="74">
        <f t="shared" si="0"/>
        <v>110000</v>
      </c>
      <c r="X15" s="74">
        <f t="shared" si="0"/>
        <v>20000</v>
      </c>
      <c r="Y15" s="74">
        <f t="shared" si="0"/>
        <v>-70000</v>
      </c>
      <c r="Z15" s="74">
        <f t="shared" si="0"/>
        <v>-160000</v>
      </c>
      <c r="AA15" s="74"/>
      <c r="AB15" s="74"/>
      <c r="AC15" s="74"/>
      <c r="AD15" s="74"/>
      <c r="AE15" s="74"/>
      <c r="AF15" s="41"/>
      <c r="AG15" s="41"/>
      <c r="AH15" s="41"/>
      <c r="AI15" s="41"/>
      <c r="AJ15" s="41"/>
    </row>
    <row r="16" spans="1:36" x14ac:dyDescent="0.2">
      <c r="A16" t="s">
        <v>219</v>
      </c>
      <c r="B16" s="7">
        <f>B5</f>
        <v>2000000</v>
      </c>
      <c r="C16" s="7">
        <f>B16+$B$6-$B$11</f>
        <v>1960000</v>
      </c>
      <c r="D16" s="7">
        <f t="shared" ref="D16:AJ16" si="1">C16+$B$6-$B$11</f>
        <v>1920000</v>
      </c>
      <c r="E16" s="7">
        <f t="shared" si="1"/>
        <v>1880000</v>
      </c>
      <c r="F16" s="7">
        <f t="shared" si="1"/>
        <v>1840000</v>
      </c>
      <c r="G16" s="7">
        <f t="shared" si="1"/>
        <v>1800000</v>
      </c>
      <c r="H16" s="7">
        <f t="shared" si="1"/>
        <v>1760000</v>
      </c>
      <c r="I16" s="7">
        <f t="shared" si="1"/>
        <v>1720000</v>
      </c>
      <c r="J16" s="7">
        <f t="shared" si="1"/>
        <v>1680000</v>
      </c>
      <c r="K16" s="7">
        <f t="shared" si="1"/>
        <v>1640000</v>
      </c>
      <c r="L16" s="7">
        <f t="shared" si="1"/>
        <v>1600000</v>
      </c>
      <c r="M16" s="7">
        <f t="shared" si="1"/>
        <v>1560000</v>
      </c>
      <c r="N16" s="7">
        <f t="shared" si="1"/>
        <v>1520000</v>
      </c>
      <c r="O16" s="7">
        <f t="shared" si="1"/>
        <v>1480000</v>
      </c>
      <c r="P16" s="7">
        <f t="shared" si="1"/>
        <v>1440000</v>
      </c>
      <c r="Q16" s="74">
        <f t="shared" si="1"/>
        <v>1400000</v>
      </c>
      <c r="R16" s="74">
        <f t="shared" si="1"/>
        <v>1360000</v>
      </c>
      <c r="S16" s="74">
        <f t="shared" si="1"/>
        <v>1320000</v>
      </c>
      <c r="T16" s="74">
        <f t="shared" si="1"/>
        <v>1280000</v>
      </c>
      <c r="U16" s="74">
        <f t="shared" si="1"/>
        <v>1240000</v>
      </c>
      <c r="V16" s="74">
        <f t="shared" si="1"/>
        <v>1200000</v>
      </c>
      <c r="W16" s="74">
        <f t="shared" si="1"/>
        <v>1160000</v>
      </c>
      <c r="X16" s="74">
        <f t="shared" si="1"/>
        <v>1120000</v>
      </c>
      <c r="Y16" s="74">
        <f t="shared" si="1"/>
        <v>1080000</v>
      </c>
      <c r="Z16" s="74">
        <f t="shared" si="1"/>
        <v>1040000</v>
      </c>
      <c r="AA16" s="74">
        <f t="shared" si="1"/>
        <v>1000000</v>
      </c>
      <c r="AB16" s="74">
        <f t="shared" si="1"/>
        <v>960000</v>
      </c>
      <c r="AC16" s="74">
        <f t="shared" si="1"/>
        <v>920000</v>
      </c>
      <c r="AD16" s="74">
        <f t="shared" si="1"/>
        <v>880000</v>
      </c>
      <c r="AE16" s="74">
        <f t="shared" si="1"/>
        <v>840000</v>
      </c>
      <c r="AF16" s="74">
        <f t="shared" si="1"/>
        <v>800000</v>
      </c>
      <c r="AG16" s="74">
        <f t="shared" si="1"/>
        <v>760000</v>
      </c>
      <c r="AH16" s="74">
        <f t="shared" si="1"/>
        <v>720000</v>
      </c>
      <c r="AI16" s="74">
        <f t="shared" si="1"/>
        <v>680000</v>
      </c>
      <c r="AJ16" s="74">
        <f t="shared" si="1"/>
        <v>640000</v>
      </c>
    </row>
    <row r="17" spans="1:26" x14ac:dyDescent="0.2">
      <c r="A17" t="s">
        <v>133</v>
      </c>
      <c r="B17" s="7">
        <f>B5</f>
        <v>2000000</v>
      </c>
      <c r="C17" s="7">
        <f t="shared" ref="C17:P17" si="2">B17+$B$6-$B$12</f>
        <v>1850000</v>
      </c>
      <c r="D17" s="7">
        <f t="shared" si="2"/>
        <v>1700000</v>
      </c>
      <c r="E17" s="7">
        <f t="shared" si="2"/>
        <v>1550000</v>
      </c>
      <c r="F17" s="7">
        <f t="shared" si="2"/>
        <v>1400000</v>
      </c>
      <c r="G17" s="7">
        <f t="shared" si="2"/>
        <v>1250000</v>
      </c>
      <c r="H17" s="7">
        <f t="shared" si="2"/>
        <v>1100000</v>
      </c>
      <c r="I17" s="7">
        <f t="shared" si="2"/>
        <v>950000</v>
      </c>
      <c r="J17" s="7">
        <f t="shared" si="2"/>
        <v>800000</v>
      </c>
      <c r="K17" s="7">
        <f t="shared" si="2"/>
        <v>650000</v>
      </c>
      <c r="L17" s="7">
        <f t="shared" si="2"/>
        <v>500000</v>
      </c>
      <c r="M17" s="7">
        <f t="shared" si="2"/>
        <v>350000</v>
      </c>
      <c r="N17" s="7">
        <f t="shared" si="2"/>
        <v>200000</v>
      </c>
      <c r="O17" s="7">
        <f t="shared" si="2"/>
        <v>50000</v>
      </c>
      <c r="P17" s="7">
        <f t="shared" si="2"/>
        <v>-100000</v>
      </c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9" x14ac:dyDescent="0.25">
      <c r="B19" s="94" t="s">
        <v>119</v>
      </c>
    </row>
    <row r="20" spans="1:26" x14ac:dyDescent="0.2">
      <c r="B20" t="s">
        <v>126</v>
      </c>
    </row>
    <row r="21" spans="1:26" x14ac:dyDescent="0.2">
      <c r="A21" s="38" t="s">
        <v>221</v>
      </c>
      <c r="B21" s="2">
        <v>10000</v>
      </c>
      <c r="C21" t="s">
        <v>213</v>
      </c>
      <c r="D21" s="2">
        <v>15000</v>
      </c>
      <c r="E21" s="2" t="s">
        <v>275</v>
      </c>
    </row>
    <row r="22" spans="1:26" x14ac:dyDescent="0.2">
      <c r="A22" s="38" t="s">
        <v>222</v>
      </c>
      <c r="B22" s="2">
        <v>20000</v>
      </c>
      <c r="C22" s="35"/>
      <c r="D22" s="2">
        <v>20000</v>
      </c>
    </row>
    <row r="23" spans="1:26" x14ac:dyDescent="0.2">
      <c r="A23" s="38"/>
      <c r="B23">
        <v>2016</v>
      </c>
      <c r="C23">
        <v>2017</v>
      </c>
      <c r="D23">
        <v>2018</v>
      </c>
      <c r="E23">
        <v>2019</v>
      </c>
      <c r="F23">
        <v>2020</v>
      </c>
      <c r="G23">
        <v>2021</v>
      </c>
      <c r="H23">
        <v>2022</v>
      </c>
      <c r="I23">
        <v>2023</v>
      </c>
      <c r="J23">
        <v>2024</v>
      </c>
      <c r="K23">
        <v>2025</v>
      </c>
      <c r="L23">
        <v>2026</v>
      </c>
      <c r="M23">
        <v>2027</v>
      </c>
      <c r="N23">
        <v>2028</v>
      </c>
      <c r="O23">
        <v>2029</v>
      </c>
      <c r="P23">
        <v>2030</v>
      </c>
    </row>
    <row r="24" spans="1:26" x14ac:dyDescent="0.2">
      <c r="A24" s="38" t="s">
        <v>223</v>
      </c>
      <c r="B24" s="60">
        <f>AVERAGE(B21:B22)</f>
        <v>15000</v>
      </c>
      <c r="C24" s="60">
        <f>B24*(1+'Match rev and exp Fig 6'!E2)</f>
        <v>16200.000000000002</v>
      </c>
      <c r="D24" s="60">
        <f>C24*(1+'Match rev and exp Fig 6'!F2)</f>
        <v>16200.000000000002</v>
      </c>
      <c r="E24" s="60">
        <f>D24*(1+'Match rev and exp Fig 6'!G2)</f>
        <v>16200.000000000002</v>
      </c>
      <c r="F24" s="60">
        <f>E24*(1+'Match rev and exp Fig 6'!H2)</f>
        <v>16200.000000000002</v>
      </c>
      <c r="G24" s="60">
        <f>F24*(1+'Match rev and exp Fig 6'!I2)</f>
        <v>16200.000000000002</v>
      </c>
      <c r="H24" s="60">
        <f>G24*(1+'Match rev and exp Fig 6'!J2)</f>
        <v>16200.000000000002</v>
      </c>
      <c r="I24" s="60">
        <f>H24*(1+'Match rev and exp Fig 6'!K2)</f>
        <v>16200.000000000002</v>
      </c>
      <c r="J24" s="60">
        <f>I24*(1+'Match rev and exp Fig 6'!L2)</f>
        <v>16200.000000000002</v>
      </c>
      <c r="K24" s="60">
        <f>J24*(1+'Match rev and exp Fig 6'!M2)</f>
        <v>16200.000000000002</v>
      </c>
      <c r="L24" s="60">
        <f>K24*(1+'Match rev and exp Fig 6'!N2)</f>
        <v>16200.000000000002</v>
      </c>
      <c r="M24" s="60">
        <f>L24*(1+'Match rev and exp Fig 6'!O2)</f>
        <v>16200.000000000002</v>
      </c>
      <c r="N24" s="60">
        <f>M24*(1+'Match rev and exp Fig 6'!P2)</f>
        <v>16200.000000000002</v>
      </c>
      <c r="O24" s="60">
        <f>N24*(1+'Match rev and exp Fig 6'!Q2)</f>
        <v>16200.000000000002</v>
      </c>
      <c r="P24" s="60">
        <f>O24*(1+'Match rev and exp Fig 6'!R2)</f>
        <v>16200.000000000002</v>
      </c>
    </row>
    <row r="25" spans="1:26" ht="19" x14ac:dyDescent="0.25">
      <c r="B25" s="94" t="s">
        <v>125</v>
      </c>
    </row>
    <row r="26" spans="1:26" x14ac:dyDescent="0.2">
      <c r="B26">
        <v>2016</v>
      </c>
      <c r="C26">
        <v>2017</v>
      </c>
      <c r="D26">
        <v>2018</v>
      </c>
      <c r="E26">
        <v>2019</v>
      </c>
      <c r="F26">
        <v>2020</v>
      </c>
      <c r="G26">
        <v>2021</v>
      </c>
      <c r="H26">
        <v>2022</v>
      </c>
      <c r="I26">
        <v>2023</v>
      </c>
      <c r="J26">
        <v>2024</v>
      </c>
      <c r="K26">
        <v>2025</v>
      </c>
      <c r="L26">
        <v>2026</v>
      </c>
      <c r="M26">
        <v>2027</v>
      </c>
      <c r="N26">
        <v>2028</v>
      </c>
      <c r="O26">
        <v>2029</v>
      </c>
      <c r="P26">
        <v>2030</v>
      </c>
    </row>
    <row r="27" spans="1:26" x14ac:dyDescent="0.2">
      <c r="A27" t="s">
        <v>226</v>
      </c>
      <c r="B27">
        <f t="shared" ref="B27:P27" si="3">B15*B$24/10^9</f>
        <v>30</v>
      </c>
      <c r="C27">
        <f t="shared" si="3"/>
        <v>30.942000000000004</v>
      </c>
      <c r="D27">
        <f t="shared" si="3"/>
        <v>29.484000000000005</v>
      </c>
      <c r="E27">
        <f t="shared" si="3"/>
        <v>28.026000000000003</v>
      </c>
      <c r="F27">
        <f t="shared" si="3"/>
        <v>26.568000000000005</v>
      </c>
      <c r="G27">
        <f t="shared" si="3"/>
        <v>25.110000000000003</v>
      </c>
      <c r="H27">
        <f t="shared" si="3"/>
        <v>23.652000000000005</v>
      </c>
      <c r="I27">
        <f t="shared" si="3"/>
        <v>22.194000000000003</v>
      </c>
      <c r="J27">
        <f t="shared" si="3"/>
        <v>20.736000000000004</v>
      </c>
      <c r="K27">
        <f t="shared" si="3"/>
        <v>19.278000000000002</v>
      </c>
      <c r="L27">
        <f t="shared" si="3"/>
        <v>17.820000000000004</v>
      </c>
      <c r="M27">
        <f t="shared" si="3"/>
        <v>16.362000000000002</v>
      </c>
      <c r="N27">
        <f t="shared" si="3"/>
        <v>14.904000000000002</v>
      </c>
      <c r="O27">
        <f t="shared" si="3"/>
        <v>13.446000000000002</v>
      </c>
      <c r="P27">
        <f t="shared" si="3"/>
        <v>11.988000000000001</v>
      </c>
    </row>
    <row r="28" spans="1:26" x14ac:dyDescent="0.2">
      <c r="A28" t="s">
        <v>225</v>
      </c>
      <c r="B28">
        <f t="shared" ref="B28:P28" si="4">B16*B$24/10^9</f>
        <v>30</v>
      </c>
      <c r="C28">
        <f t="shared" si="4"/>
        <v>31.752000000000002</v>
      </c>
      <c r="D28">
        <f t="shared" si="4"/>
        <v>31.104000000000003</v>
      </c>
      <c r="E28">
        <f t="shared" si="4"/>
        <v>30.456000000000003</v>
      </c>
      <c r="F28">
        <f t="shared" si="4"/>
        <v>29.808000000000003</v>
      </c>
      <c r="G28">
        <f t="shared" si="4"/>
        <v>29.160000000000004</v>
      </c>
      <c r="H28">
        <f t="shared" si="4"/>
        <v>28.512000000000004</v>
      </c>
      <c r="I28">
        <f t="shared" si="4"/>
        <v>27.864000000000004</v>
      </c>
      <c r="J28">
        <f t="shared" si="4"/>
        <v>27.216000000000005</v>
      </c>
      <c r="K28">
        <f t="shared" si="4"/>
        <v>26.568000000000005</v>
      </c>
      <c r="L28">
        <f t="shared" si="4"/>
        <v>25.920000000000005</v>
      </c>
      <c r="M28">
        <f t="shared" si="4"/>
        <v>25.272000000000006</v>
      </c>
      <c r="N28">
        <f t="shared" si="4"/>
        <v>24.624000000000002</v>
      </c>
      <c r="O28">
        <f t="shared" si="4"/>
        <v>23.976000000000003</v>
      </c>
      <c r="P28">
        <f t="shared" si="4"/>
        <v>23.328000000000003</v>
      </c>
    </row>
    <row r="29" spans="1:26" x14ac:dyDescent="0.2">
      <c r="A29" t="s">
        <v>224</v>
      </c>
      <c r="B29" s="17">
        <f t="shared" ref="B29:P29" si="5">B17*B$24/10^9</f>
        <v>30</v>
      </c>
      <c r="C29" s="17">
        <f t="shared" si="5"/>
        <v>29.970000000000002</v>
      </c>
      <c r="D29" s="17">
        <f t="shared" si="5"/>
        <v>27.540000000000003</v>
      </c>
      <c r="E29" s="17">
        <f t="shared" si="5"/>
        <v>25.110000000000003</v>
      </c>
      <c r="F29" s="17">
        <f t="shared" si="5"/>
        <v>22.680000000000003</v>
      </c>
      <c r="G29" s="17">
        <f t="shared" si="5"/>
        <v>20.250000000000004</v>
      </c>
      <c r="H29" s="17">
        <f t="shared" si="5"/>
        <v>17.820000000000004</v>
      </c>
      <c r="I29" s="17">
        <f t="shared" si="5"/>
        <v>15.390000000000002</v>
      </c>
      <c r="J29" s="17">
        <f t="shared" si="5"/>
        <v>12.960000000000003</v>
      </c>
      <c r="K29" s="17">
        <f t="shared" si="5"/>
        <v>10.530000000000001</v>
      </c>
      <c r="L29" s="17">
        <f t="shared" si="5"/>
        <v>8.1000000000000014</v>
      </c>
      <c r="M29" s="17">
        <f t="shared" si="5"/>
        <v>5.6700000000000008</v>
      </c>
      <c r="N29" s="17">
        <f t="shared" si="5"/>
        <v>3.2400000000000007</v>
      </c>
      <c r="O29" s="17">
        <f t="shared" si="5"/>
        <v>0.81000000000000016</v>
      </c>
      <c r="P29" s="17">
        <f t="shared" si="5"/>
        <v>-1.6200000000000003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39997558519241921"/>
  </sheetPr>
  <dimension ref="A1:P37"/>
  <sheetViews>
    <sheetView workbookViewId="0">
      <selection activeCell="B5" sqref="B5"/>
    </sheetView>
  </sheetViews>
  <sheetFormatPr baseColWidth="10" defaultRowHeight="16" x14ac:dyDescent="0.2"/>
  <cols>
    <col min="2" max="2" width="15" bestFit="1" customWidth="1"/>
    <col min="3" max="3" width="16" customWidth="1"/>
  </cols>
  <sheetData>
    <row r="1" spans="1:16" ht="20" x14ac:dyDescent="0.2">
      <c r="A1" s="88" t="s">
        <v>268</v>
      </c>
      <c r="I1" s="28" t="s">
        <v>227</v>
      </c>
      <c r="J1" s="28" t="s">
        <v>228</v>
      </c>
      <c r="K1" s="28" t="s">
        <v>144</v>
      </c>
    </row>
    <row r="2" spans="1:16" x14ac:dyDescent="0.2">
      <c r="J2" s="28"/>
      <c r="K2" s="75" t="s">
        <v>143</v>
      </c>
    </row>
    <row r="3" spans="1:16" x14ac:dyDescent="0.2">
      <c r="J3" s="28" t="s">
        <v>230</v>
      </c>
      <c r="K3" s="28" t="s">
        <v>229</v>
      </c>
    </row>
    <row r="4" spans="1:16" ht="19" x14ac:dyDescent="0.25">
      <c r="B4" s="94" t="s">
        <v>273</v>
      </c>
    </row>
    <row r="5" spans="1:16" ht="19" x14ac:dyDescent="0.25">
      <c r="B5" t="s">
        <v>136</v>
      </c>
      <c r="C5" s="94" t="s">
        <v>145</v>
      </c>
    </row>
    <row r="6" spans="1:16" x14ac:dyDescent="0.2">
      <c r="B6" s="2">
        <f>5*21000</f>
        <v>105000</v>
      </c>
      <c r="C6" s="2">
        <f>1.5*21000</f>
        <v>31500</v>
      </c>
    </row>
    <row r="7" spans="1:16" x14ac:dyDescent="0.2">
      <c r="B7" s="5">
        <v>0.5</v>
      </c>
      <c r="C7" s="5">
        <v>1</v>
      </c>
      <c r="D7" t="s">
        <v>134</v>
      </c>
    </row>
    <row r="8" spans="1:16" x14ac:dyDescent="0.2">
      <c r="B8" s="35">
        <f>B6*B7</f>
        <v>52500</v>
      </c>
      <c r="C8" s="35">
        <f>C6*C7</f>
        <v>31500</v>
      </c>
    </row>
    <row r="9" spans="1:16" x14ac:dyDescent="0.2">
      <c r="B9">
        <v>50000</v>
      </c>
      <c r="C9" s="61">
        <v>100000</v>
      </c>
      <c r="D9" s="17" t="s">
        <v>135</v>
      </c>
    </row>
    <row r="10" spans="1:16" x14ac:dyDescent="0.2">
      <c r="B10" s="35">
        <f>B8*B9</f>
        <v>2625000000</v>
      </c>
      <c r="C10" s="35">
        <f>C8*C9</f>
        <v>3150000000</v>
      </c>
    </row>
    <row r="11" spans="1:16" x14ac:dyDescent="0.2">
      <c r="B11" s="36">
        <f>B10/10^9</f>
        <v>2.625</v>
      </c>
      <c r="C11" s="36">
        <f>C10/10^9</f>
        <v>3.15</v>
      </c>
      <c r="D11" t="s">
        <v>127</v>
      </c>
    </row>
    <row r="12" spans="1:16" x14ac:dyDescent="0.2">
      <c r="B12" s="36"/>
      <c r="C12" s="36"/>
    </row>
    <row r="13" spans="1:16" ht="19" x14ac:dyDescent="0.25">
      <c r="B13" s="94" t="s">
        <v>208</v>
      </c>
    </row>
    <row r="14" spans="1:16" x14ac:dyDescent="0.2">
      <c r="B14">
        <v>2016</v>
      </c>
      <c r="C14">
        <v>2017</v>
      </c>
      <c r="D14">
        <v>2018</v>
      </c>
      <c r="E14">
        <v>2019</v>
      </c>
      <c r="F14">
        <v>2020</v>
      </c>
      <c r="G14">
        <v>2021</v>
      </c>
      <c r="H14">
        <v>2022</v>
      </c>
      <c r="I14">
        <v>2023</v>
      </c>
      <c r="J14">
        <v>2024</v>
      </c>
      <c r="K14">
        <v>2025</v>
      </c>
      <c r="L14">
        <v>2026</v>
      </c>
      <c r="M14">
        <v>2027</v>
      </c>
      <c r="N14">
        <v>2028</v>
      </c>
      <c r="O14">
        <v>2029</v>
      </c>
      <c r="P14">
        <v>2030</v>
      </c>
    </row>
    <row r="15" spans="1:16" x14ac:dyDescent="0.2">
      <c r="A15" t="s">
        <v>231</v>
      </c>
      <c r="B15" s="38">
        <f>C11</f>
        <v>3.15</v>
      </c>
      <c r="C15" s="38">
        <f>B15*(1+'Match rev and exp Fig 6'!$E$2)</f>
        <v>3.4020000000000001</v>
      </c>
      <c r="D15" s="38">
        <f>C15*(1+'Match rev and exp Fig 6'!$E$2)</f>
        <v>3.6741600000000005</v>
      </c>
      <c r="E15" s="38">
        <f>D15*(1+'Match rev and exp Fig 6'!$E$2)</f>
        <v>3.9680928000000009</v>
      </c>
      <c r="F15" s="38">
        <f>E15*(1+'Match rev and exp Fig 6'!$E$2)</f>
        <v>4.2855402240000009</v>
      </c>
      <c r="G15" s="38">
        <f>F15*(1+'Match rev and exp Fig 6'!$E$2)</f>
        <v>4.6283834419200014</v>
      </c>
      <c r="H15" s="38">
        <f>G15*(1+'Match rev and exp Fig 6'!$E$2)</f>
        <v>4.9986541172736016</v>
      </c>
      <c r="I15" s="38">
        <f>H15*(1+'Match rev and exp Fig 6'!$E$2)</f>
        <v>5.39854644665549</v>
      </c>
      <c r="J15" s="38">
        <f>I15*(1+'Match rev and exp Fig 6'!$E$2)</f>
        <v>5.8304301623879295</v>
      </c>
      <c r="K15" s="38">
        <f>J15*(1+'Match rev and exp Fig 6'!$E$2)</f>
        <v>6.2968645753789643</v>
      </c>
      <c r="L15" s="38">
        <f>K15*(1+'Match rev and exp Fig 6'!$E$2)</f>
        <v>6.8006137414092818</v>
      </c>
      <c r="M15" s="38">
        <f>L15*(1+'Match rev and exp Fig 6'!$E$2)</f>
        <v>7.3446628407220249</v>
      </c>
      <c r="N15" s="38">
        <f>M15*(1+'Match rev and exp Fig 6'!$E$2)</f>
        <v>7.9322358679797871</v>
      </c>
      <c r="O15" s="38">
        <f>N15*(1+'Match rev and exp Fig 6'!$E$2)</f>
        <v>8.56681473741817</v>
      </c>
      <c r="P15" s="38">
        <f>O15*(1+'Match rev and exp Fig 6'!$E$2)</f>
        <v>9.2521599164116246</v>
      </c>
    </row>
    <row r="24" spans="5:6" x14ac:dyDescent="0.2">
      <c r="E24" s="38"/>
    </row>
    <row r="30" spans="5:6" x14ac:dyDescent="0.2">
      <c r="F30" s="38"/>
    </row>
    <row r="31" spans="5:6" x14ac:dyDescent="0.2">
      <c r="E31" s="37"/>
    </row>
    <row r="33" spans="5:5" x14ac:dyDescent="0.2">
      <c r="E33" s="37"/>
    </row>
    <row r="34" spans="5:5" x14ac:dyDescent="0.2">
      <c r="E34" s="37"/>
    </row>
    <row r="35" spans="5:5" x14ac:dyDescent="0.2">
      <c r="E35" s="37"/>
    </row>
    <row r="36" spans="5:5" x14ac:dyDescent="0.2">
      <c r="E36" s="37"/>
    </row>
    <row r="37" spans="5:5" x14ac:dyDescent="0.2">
      <c r="E37" s="3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"/>
  <sheetViews>
    <sheetView tabSelected="1" topLeftCell="A20" workbookViewId="0">
      <selection activeCell="G57" sqref="G57"/>
    </sheetView>
  </sheetViews>
  <sheetFormatPr baseColWidth="10" defaultRowHeight="16" x14ac:dyDescent="0.2"/>
  <cols>
    <col min="1" max="1" width="23.83203125" customWidth="1"/>
    <col min="2" max="2" width="18.83203125" customWidth="1"/>
    <col min="3" max="3" width="13" bestFit="1" customWidth="1"/>
    <col min="4" max="4" width="11.5" customWidth="1"/>
    <col min="5" max="17" width="13" bestFit="1" customWidth="1"/>
  </cols>
  <sheetData>
    <row r="1" spans="1:33" ht="20" x14ac:dyDescent="0.2">
      <c r="A1" s="88" t="s">
        <v>0</v>
      </c>
      <c r="E1" t="s">
        <v>164</v>
      </c>
    </row>
    <row r="2" spans="1:33" ht="20" x14ac:dyDescent="0.2">
      <c r="A2" s="88" t="s">
        <v>138</v>
      </c>
      <c r="E2" s="5">
        <f>'Tax revenue emiss Fig 2 and 4'!C7</f>
        <v>0.08</v>
      </c>
    </row>
    <row r="3" spans="1:33" x14ac:dyDescent="0.2">
      <c r="B3" s="17" t="s">
        <v>158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33" x14ac:dyDescent="0.2">
      <c r="B4" t="s">
        <v>159</v>
      </c>
    </row>
    <row r="5" spans="1:33" x14ac:dyDescent="0.2">
      <c r="C5">
        <f>'Tax revenue emiss Fig 2 and 4'!C35</f>
        <v>2016</v>
      </c>
      <c r="D5">
        <f>'Tax revenue emiss Fig 2 and 4'!D35</f>
        <v>2017</v>
      </c>
      <c r="E5">
        <f>'Tax revenue emiss Fig 2 and 4'!E35</f>
        <v>2018</v>
      </c>
      <c r="F5">
        <f>'Tax revenue emiss Fig 2 and 4'!F35</f>
        <v>2019</v>
      </c>
      <c r="G5">
        <f>'Tax revenue emiss Fig 2 and 4'!G35</f>
        <v>2020</v>
      </c>
      <c r="H5">
        <f>'Tax revenue emiss Fig 2 and 4'!H35</f>
        <v>2021</v>
      </c>
      <c r="I5">
        <f>'Tax revenue emiss Fig 2 and 4'!I35</f>
        <v>2022</v>
      </c>
      <c r="J5">
        <f>'Tax revenue emiss Fig 2 and 4'!J35</f>
        <v>2023</v>
      </c>
      <c r="K5">
        <f>'Tax revenue emiss Fig 2 and 4'!K35</f>
        <v>2024</v>
      </c>
      <c r="L5">
        <f>'Tax revenue emiss Fig 2 and 4'!L35</f>
        <v>2025</v>
      </c>
      <c r="M5">
        <f>'Tax revenue emiss Fig 2 and 4'!M35</f>
        <v>2026</v>
      </c>
      <c r="N5">
        <f>'Tax revenue emiss Fig 2 and 4'!N35</f>
        <v>2027</v>
      </c>
      <c r="O5">
        <f>'Tax revenue emiss Fig 2 and 4'!O35</f>
        <v>2028</v>
      </c>
      <c r="P5">
        <f>'Tax revenue emiss Fig 2 and 4'!P35</f>
        <v>2029</v>
      </c>
      <c r="Q5">
        <f>'Tax revenue emiss Fig 2 and 4'!Q35</f>
        <v>2030</v>
      </c>
    </row>
    <row r="6" spans="1:33" x14ac:dyDescent="0.2">
      <c r="B6" t="str">
        <f>'Tax revenue emiss Fig 2 and 4'!B36</f>
        <v>WEM-Hi</v>
      </c>
      <c r="C6" s="9">
        <f>'Tax revenue emiss Fig 2 and 4'!C36</f>
        <v>28.930238546971704</v>
      </c>
      <c r="D6" s="9">
        <f>'Tax revenue emiss Fig 2 and 4'!D36</f>
        <v>32.622605055420742</v>
      </c>
      <c r="E6" s="9">
        <f>'Tax revenue emiss Fig 2 and 4'!E36</f>
        <v>36.764142480089866</v>
      </c>
      <c r="F6" s="9">
        <f>'Tax revenue emiss Fig 2 and 4'!F36</f>
        <v>41.407761339138609</v>
      </c>
      <c r="G6" s="9">
        <f>'Tax revenue emiss Fig 2 and 4'!G36</f>
        <v>46.612462545196216</v>
      </c>
      <c r="H6" s="9">
        <f>'Tax revenue emiss Fig 2 and 4'!H36</f>
        <v>51.376633811261051</v>
      </c>
      <c r="I6" s="9">
        <f>'Tax revenue emiss Fig 2 and 4'!I36</f>
        <v>56.604752719607013</v>
      </c>
      <c r="J6" s="9">
        <f>'Tax revenue emiss Fig 2 and 4'!J36</f>
        <v>62.340560196896256</v>
      </c>
      <c r="K6" s="9">
        <f>'Tax revenue emiss Fig 2 and 4'!K36</f>
        <v>68.631826453146289</v>
      </c>
      <c r="L6" s="9">
        <f>'Tax revenue emiss Fig 2 and 4'!L36</f>
        <v>75.53071572513619</v>
      </c>
      <c r="M6" s="9">
        <f>'Tax revenue emiss Fig 2 and 4'!M36</f>
        <v>84.389764928351113</v>
      </c>
      <c r="N6" s="9">
        <f>'Tax revenue emiss Fig 2 and 4'!N36</f>
        <v>94.182865423439566</v>
      </c>
      <c r="O6" s="9">
        <f>'Tax revenue emiss Fig 2 and 4'!O36</f>
        <v>105.00276750220071</v>
      </c>
      <c r="P6" s="9">
        <f>'Tax revenue emiss Fig 2 and 4'!P36</f>
        <v>116.95108357485366</v>
      </c>
      <c r="Q6" s="9">
        <f>'Tax revenue emiss Fig 2 and 4'!Q36</f>
        <v>130.13911250711698</v>
      </c>
    </row>
    <row r="7" spans="1:33" x14ac:dyDescent="0.2">
      <c r="B7" t="str">
        <f>'Tax revenue emiss Fig 2 and 4'!B39</f>
        <v>WAM-Lo</v>
      </c>
      <c r="C7" s="9">
        <f>'Tax revenue emiss Fig 2 and 4'!C39</f>
        <v>6.5730420233169662</v>
      </c>
      <c r="D7" s="9">
        <f>'Tax revenue emiss Fig 2 and 4'!D39</f>
        <v>7.2810776541566806</v>
      </c>
      <c r="E7" s="9">
        <f>'Tax revenue emiss Fig 2 and 4'!E39</f>
        <v>8.0649899909311653</v>
      </c>
      <c r="F7" s="9">
        <f>'Tax revenue emiss Fig 2 and 4'!F39</f>
        <v>8.9328740185189837</v>
      </c>
      <c r="G7" s="9">
        <f>'Tax revenue emiss Fig 2 and 4'!G39</f>
        <v>9.8936849517150538</v>
      </c>
      <c r="H7" s="9">
        <f>'Tax revenue emiss Fig 2 and 4'!H39</f>
        <v>10.598479158427432</v>
      </c>
      <c r="I7" s="9">
        <f>'Tax revenue emiss Fig 2 and 4'!I39</f>
        <v>11.352720854522815</v>
      </c>
      <c r="J7" s="9">
        <f>'Tax revenue emiss Fig 2 and 4'!J39</f>
        <v>12.159810955379523</v>
      </c>
      <c r="K7" s="9">
        <f>'Tax revenue emiss Fig 2 and 4'!K39</f>
        <v>13.02337805890436</v>
      </c>
      <c r="L7" s="9">
        <f>'Tax revenue emiss Fig 2 and 4'!L39</f>
        <v>13.947293108878744</v>
      </c>
      <c r="M7" s="9">
        <f>'Tax revenue emiss Fig 2 and 4'!M39</f>
        <v>14.937354567998476</v>
      </c>
      <c r="N7" s="9">
        <f>'Tax revenue emiss Fig 2 and 4'!N39</f>
        <v>15.996563184680543</v>
      </c>
      <c r="O7" s="9">
        <f>'Tax revenue emiss Fig 2 and 4'!O39</f>
        <v>17.129646110796546</v>
      </c>
      <c r="P7" s="9">
        <f>'Tax revenue emiss Fig 2 and 4'!P39</f>
        <v>18.341644300709159</v>
      </c>
      <c r="Q7" s="9">
        <f>'Tax revenue emiss Fig 2 and 4'!Q39</f>
        <v>19.637932465898679</v>
      </c>
    </row>
    <row r="8" spans="1:33" x14ac:dyDescent="0.2">
      <c r="B8" t="str">
        <f>'Tax revenue emiss Fig 2 and 4'!B40</f>
        <v>WEM-Med</v>
      </c>
      <c r="C8" s="9">
        <f>'Tax revenue emiss Fig 2 and 4'!C40</f>
        <v>18.081399091857318</v>
      </c>
      <c r="D8" s="9">
        <f>'Tax revenue emiss Fig 2 and 4'!D40</f>
        <v>20.389128159637963</v>
      </c>
      <c r="E8" s="9">
        <f>'Tax revenue emiss Fig 2 and 4'!E40</f>
        <v>22.977589050056164</v>
      </c>
      <c r="F8" s="9">
        <f>'Tax revenue emiss Fig 2 and 4'!F40</f>
        <v>25.87985083696163</v>
      </c>
      <c r="G8" s="9">
        <f>'Tax revenue emiss Fig 2 and 4'!G40</f>
        <v>29.132789090747632</v>
      </c>
      <c r="H8" s="9">
        <f>'Tax revenue emiss Fig 2 and 4'!H40</f>
        <v>32.110396132038154</v>
      </c>
      <c r="I8" s="9">
        <f>'Tax revenue emiss Fig 2 and 4'!I40</f>
        <v>35.377970449754379</v>
      </c>
      <c r="J8" s="9">
        <f>'Tax revenue emiss Fig 2 and 4'!J40</f>
        <v>38.962850123060157</v>
      </c>
      <c r="K8" s="9">
        <f>'Tax revenue emiss Fig 2 and 4'!K40</f>
        <v>42.894891533216423</v>
      </c>
      <c r="L8" s="9">
        <f>'Tax revenue emiss Fig 2 and 4'!L40</f>
        <v>47.206697328210112</v>
      </c>
      <c r="M8" s="9">
        <f>'Tax revenue emiss Fig 2 and 4'!M40</f>
        <v>52.743603080219437</v>
      </c>
      <c r="N8" s="9">
        <f>'Tax revenue emiss Fig 2 and 4'!N40</f>
        <v>58.864290889649709</v>
      </c>
      <c r="O8" s="9">
        <f>'Tax revenue emiss Fig 2 and 4'!O40</f>
        <v>65.626729688875415</v>
      </c>
      <c r="P8" s="9">
        <f>'Tax revenue emiss Fig 2 and 4'!P40</f>
        <v>73.094427234283486</v>
      </c>
      <c r="Q8" s="9">
        <f>'Tax revenue emiss Fig 2 and 4'!Q40</f>
        <v>81.336945316948061</v>
      </c>
    </row>
    <row r="9" spans="1:33" x14ac:dyDescent="0.2">
      <c r="B9" t="str">
        <f>'Tax revenue emiss Fig 2 and 4'!B41</f>
        <v>WAM-Med</v>
      </c>
      <c r="C9" s="9">
        <f>'Tax revenue emiss Fig 2 and 4'!C41</f>
        <v>16.43260505829242</v>
      </c>
      <c r="D9" s="9">
        <f>'Tax revenue emiss Fig 2 and 4'!D41</f>
        <v>18.202694135391702</v>
      </c>
      <c r="E9" s="9">
        <f>'Tax revenue emiss Fig 2 and 4'!E41</f>
        <v>20.162474977327921</v>
      </c>
      <c r="F9" s="9">
        <f>'Tax revenue emiss Fig 2 and 4'!F41</f>
        <v>22.332185046297461</v>
      </c>
      <c r="G9" s="9">
        <f>'Tax revenue emiss Fig 2 and 4'!G41</f>
        <v>24.734212379287634</v>
      </c>
      <c r="H9" s="9">
        <f>'Tax revenue emiss Fig 2 and 4'!H41</f>
        <v>26.49619789606858</v>
      </c>
      <c r="I9" s="9">
        <f>'Tax revenue emiss Fig 2 and 4'!I41</f>
        <v>28.381802136307037</v>
      </c>
      <c r="J9" s="9">
        <f>'Tax revenue emiss Fig 2 and 4'!J41</f>
        <v>30.39952738844881</v>
      </c>
      <c r="K9" s="9">
        <f>'Tax revenue emiss Fig 2 and 4'!K41</f>
        <v>32.558445147260898</v>
      </c>
      <c r="L9" s="9">
        <f>'Tax revenue emiss Fig 2 and 4'!L41</f>
        <v>34.868232772196862</v>
      </c>
      <c r="M9" s="9">
        <f>'Tax revenue emiss Fig 2 and 4'!M41</f>
        <v>37.343386419996193</v>
      </c>
      <c r="N9" s="9">
        <f>'Tax revenue emiss Fig 2 and 4'!N41</f>
        <v>39.991407961701348</v>
      </c>
      <c r="O9" s="9">
        <f>'Tax revenue emiss Fig 2 and 4'!O41</f>
        <v>42.824115276991364</v>
      </c>
      <c r="P9" s="9">
        <f>'Tax revenue emiss Fig 2 and 4'!P41</f>
        <v>45.854110751772879</v>
      </c>
      <c r="Q9" s="9">
        <f>'Tax revenue emiss Fig 2 and 4'!Q41</f>
        <v>49.094831164746687</v>
      </c>
    </row>
    <row r="10" spans="1:33" x14ac:dyDescent="0.2"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33" x14ac:dyDescent="0.2">
      <c r="B11" t="s">
        <v>160</v>
      </c>
      <c r="D11" s="86"/>
    </row>
    <row r="12" spans="1:33" x14ac:dyDescent="0.2">
      <c r="C12">
        <f t="shared" ref="C12:Q12" si="0">C5</f>
        <v>2016</v>
      </c>
      <c r="D12">
        <f t="shared" si="0"/>
        <v>2017</v>
      </c>
      <c r="E12">
        <f t="shared" si="0"/>
        <v>2018</v>
      </c>
      <c r="F12">
        <f t="shared" si="0"/>
        <v>2019</v>
      </c>
      <c r="G12">
        <f t="shared" si="0"/>
        <v>2020</v>
      </c>
      <c r="H12">
        <f t="shared" si="0"/>
        <v>2021</v>
      </c>
      <c r="I12">
        <f t="shared" si="0"/>
        <v>2022</v>
      </c>
      <c r="J12">
        <f t="shared" si="0"/>
        <v>2023</v>
      </c>
      <c r="K12">
        <f t="shared" si="0"/>
        <v>2024</v>
      </c>
      <c r="L12">
        <f t="shared" si="0"/>
        <v>2025</v>
      </c>
      <c r="M12">
        <f t="shared" si="0"/>
        <v>2026</v>
      </c>
      <c r="N12">
        <f t="shared" si="0"/>
        <v>2027</v>
      </c>
      <c r="O12">
        <f t="shared" si="0"/>
        <v>2028</v>
      </c>
      <c r="P12">
        <f t="shared" si="0"/>
        <v>2029</v>
      </c>
      <c r="Q12">
        <f t="shared" si="0"/>
        <v>2030</v>
      </c>
    </row>
    <row r="13" spans="1:33" x14ac:dyDescent="0.2">
      <c r="B13" t="e">
        <f>#REF!</f>
        <v>#REF!</v>
      </c>
      <c r="C13" s="10">
        <f>Electrification!B23</f>
        <v>5.5830000000000002</v>
      </c>
      <c r="D13" s="10">
        <f>Electrification!C23</f>
        <v>6.1840000000000002</v>
      </c>
      <c r="E13" s="10">
        <f>Electrification!D23</f>
        <v>6.4320000000000004</v>
      </c>
      <c r="F13" s="10">
        <f>Electrification!E23</f>
        <v>7.7919999999999998</v>
      </c>
      <c r="G13" s="10">
        <f>Electrification!F23</f>
        <v>8.4153599999999997</v>
      </c>
      <c r="H13" s="10">
        <f>Electrification!G23</f>
        <v>9.0885888000000019</v>
      </c>
      <c r="I13" s="10">
        <f>Electrification!H23</f>
        <v>9.8156759040000008</v>
      </c>
      <c r="J13" s="10">
        <f>Electrification!I23</f>
        <v>10.600929976320002</v>
      </c>
      <c r="K13" s="10">
        <f>Electrification!J23</f>
        <v>11.449004374425602</v>
      </c>
      <c r="L13" s="10">
        <f>Electrification!K23</f>
        <v>12.364924724379652</v>
      </c>
      <c r="M13" s="10">
        <f>Electrification!L23</f>
        <v>13.354118702330025</v>
      </c>
      <c r="N13" s="10">
        <f>Electrification!M23</f>
        <v>14.422448198516427</v>
      </c>
      <c r="O13" s="10">
        <f>Electrification!N23</f>
        <v>15.576244054397742</v>
      </c>
      <c r="P13" s="10">
        <f>Electrification!O23</f>
        <v>16.82234357874956</v>
      </c>
      <c r="Q13" s="10">
        <f>P13*(1+$E$2)</f>
        <v>18.168131065049526</v>
      </c>
    </row>
    <row r="14" spans="1:33" x14ac:dyDescent="0.2">
      <c r="B14" t="e">
        <f>#REF!</f>
        <v>#REF!</v>
      </c>
      <c r="C14" s="10">
        <f>LPG!B19</f>
        <v>1.3357666666666668</v>
      </c>
      <c r="D14" s="10">
        <f t="shared" ref="D14:P14" si="1">C14*(1+$E$2)</f>
        <v>1.4426280000000002</v>
      </c>
      <c r="E14" s="10">
        <f t="shared" si="1"/>
        <v>1.5580382400000004</v>
      </c>
      <c r="F14" s="10">
        <f t="shared" si="1"/>
        <v>1.6826812992000004</v>
      </c>
      <c r="G14" s="10">
        <f t="shared" si="1"/>
        <v>1.8172958031360005</v>
      </c>
      <c r="H14" s="10">
        <f t="shared" si="1"/>
        <v>1.9626794673868806</v>
      </c>
      <c r="I14" s="10">
        <f>H14*(1+$E$2)</f>
        <v>2.1196938247778312</v>
      </c>
      <c r="J14" s="10">
        <f t="shared" si="1"/>
        <v>2.289269330760058</v>
      </c>
      <c r="K14" s="10">
        <f t="shared" si="1"/>
        <v>2.4724108772208626</v>
      </c>
      <c r="L14" s="10">
        <f t="shared" si="1"/>
        <v>2.6702037473985318</v>
      </c>
      <c r="M14" s="10">
        <f t="shared" si="1"/>
        <v>2.8838200471904147</v>
      </c>
      <c r="N14" s="10">
        <f t="shared" si="1"/>
        <v>3.114525650965648</v>
      </c>
      <c r="O14" s="10">
        <f t="shared" si="1"/>
        <v>3.3636877030429</v>
      </c>
      <c r="P14" s="10">
        <f t="shared" si="1"/>
        <v>3.632782719286332</v>
      </c>
      <c r="Q14" s="10">
        <f>P14*(1+$E$2)</f>
        <v>3.923405336829239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</row>
    <row r="15" spans="1:33" x14ac:dyDescent="0.2">
      <c r="B15" t="e">
        <f>#REF!</f>
        <v>#REF!</v>
      </c>
      <c r="C15" s="10">
        <f>'Sust housing Fig 5'!B29</f>
        <v>30</v>
      </c>
      <c r="D15" s="10">
        <f>'Sust housing Fig 5'!C29</f>
        <v>29.970000000000002</v>
      </c>
      <c r="E15" s="10">
        <f>'Sust housing Fig 5'!D29</f>
        <v>27.540000000000003</v>
      </c>
      <c r="F15" s="10">
        <f>'Sust housing Fig 5'!E29</f>
        <v>25.110000000000003</v>
      </c>
      <c r="G15" s="10">
        <f>'Sust housing Fig 5'!F29</f>
        <v>22.680000000000003</v>
      </c>
      <c r="H15" s="10">
        <f>'Sust housing Fig 5'!G29</f>
        <v>20.250000000000004</v>
      </c>
      <c r="I15" s="10">
        <f>'Sust housing Fig 5'!H29</f>
        <v>17.820000000000004</v>
      </c>
      <c r="J15" s="10">
        <f>'Sust housing Fig 5'!I29</f>
        <v>15.390000000000002</v>
      </c>
      <c r="K15" s="10">
        <f>'Sust housing Fig 5'!J29</f>
        <v>12.960000000000003</v>
      </c>
      <c r="L15" s="10">
        <f>'Sust housing Fig 5'!K29</f>
        <v>10.530000000000001</v>
      </c>
      <c r="M15" s="10">
        <f>'Sust housing Fig 5'!L29</f>
        <v>8.1000000000000014</v>
      </c>
      <c r="N15" s="10">
        <f>'Sust housing Fig 5'!M29</f>
        <v>5.6700000000000008</v>
      </c>
      <c r="O15" s="10">
        <f>'Sust housing Fig 5'!N29</f>
        <v>3.2400000000000007</v>
      </c>
      <c r="P15" s="10">
        <f>'Sust housing Fig 5'!O29</f>
        <v>0.81000000000000016</v>
      </c>
      <c r="Q15" s="10">
        <f>'Sust housing Fig 5'!P29</f>
        <v>-1.6200000000000003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</row>
    <row r="16" spans="1:33" x14ac:dyDescent="0.2">
      <c r="B16" t="e">
        <f>#REF!</f>
        <v>#REF!</v>
      </c>
      <c r="C16" s="10">
        <f>'Rooftop solar'!B15</f>
        <v>3.15</v>
      </c>
      <c r="D16" s="10">
        <f>'Rooftop solar'!C15</f>
        <v>3.4020000000000001</v>
      </c>
      <c r="E16" s="10">
        <f>'Rooftop solar'!D15</f>
        <v>3.6741600000000005</v>
      </c>
      <c r="F16" s="10">
        <f>'Rooftop solar'!E15</f>
        <v>3.9680928000000009</v>
      </c>
      <c r="G16" s="10">
        <f>'Rooftop solar'!F15</f>
        <v>4.2855402240000009</v>
      </c>
      <c r="H16" s="10">
        <f>'Rooftop solar'!G15</f>
        <v>4.6283834419200014</v>
      </c>
      <c r="I16" s="10">
        <f>'Rooftop solar'!H15</f>
        <v>4.9986541172736016</v>
      </c>
      <c r="J16" s="10">
        <f>'Rooftop solar'!I15</f>
        <v>5.39854644665549</v>
      </c>
      <c r="K16" s="10">
        <f>'Rooftop solar'!J15</f>
        <v>5.8304301623879295</v>
      </c>
      <c r="L16" s="10">
        <f>'Rooftop solar'!K15</f>
        <v>6.2968645753789643</v>
      </c>
      <c r="M16" s="10">
        <f>'Rooftop solar'!L15</f>
        <v>6.8006137414092818</v>
      </c>
      <c r="N16" s="10">
        <f>'Rooftop solar'!M15</f>
        <v>7.3446628407220249</v>
      </c>
      <c r="O16" s="10">
        <f>'Rooftop solar'!N15</f>
        <v>7.9322358679797871</v>
      </c>
      <c r="P16" s="10">
        <f>'Rooftop solar'!O15</f>
        <v>8.56681473741817</v>
      </c>
      <c r="Q16" s="10">
        <f>'Rooftop solar'!P15</f>
        <v>9.2521599164116246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 spans="2:34" x14ac:dyDescent="0.2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2:34" x14ac:dyDescent="0.2">
      <c r="B18" t="s">
        <v>162</v>
      </c>
      <c r="C18" s="10">
        <f t="shared" ref="C18:Q18" si="2">SUM(C13:C16)</f>
        <v>40.068766666666669</v>
      </c>
      <c r="D18" s="10">
        <f t="shared" si="2"/>
        <v>40.998628000000004</v>
      </c>
      <c r="E18" s="10">
        <f t="shared" si="2"/>
        <v>39.204198240000004</v>
      </c>
      <c r="F18" s="10">
        <f t="shared" si="2"/>
        <v>38.552774099200001</v>
      </c>
      <c r="G18" s="10">
        <f t="shared" si="2"/>
        <v>37.198196027136007</v>
      </c>
      <c r="H18" s="10">
        <f t="shared" si="2"/>
        <v>35.929651709306889</v>
      </c>
      <c r="I18" s="10">
        <f t="shared" si="2"/>
        <v>34.754023846051439</v>
      </c>
      <c r="J18" s="10">
        <f t="shared" si="2"/>
        <v>33.678745753735548</v>
      </c>
      <c r="K18" s="10">
        <f t="shared" si="2"/>
        <v>32.711845414034393</v>
      </c>
      <c r="L18" s="10">
        <f t="shared" si="2"/>
        <v>31.861993047157149</v>
      </c>
      <c r="M18" s="10">
        <f t="shared" si="2"/>
        <v>31.138552490929722</v>
      </c>
      <c r="N18" s="10">
        <f t="shared" si="2"/>
        <v>30.551636690204099</v>
      </c>
      <c r="O18" s="10">
        <f t="shared" si="2"/>
        <v>30.112167625420433</v>
      </c>
      <c r="P18" s="10">
        <f t="shared" si="2"/>
        <v>29.831941035454062</v>
      </c>
      <c r="Q18" s="10">
        <f t="shared" si="2"/>
        <v>29.723696318290386</v>
      </c>
    </row>
    <row r="20" spans="2:34" x14ac:dyDescent="0.2">
      <c r="B20" s="44" t="s">
        <v>161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2:34" x14ac:dyDescent="0.2">
      <c r="B21" s="45"/>
      <c r="C21" s="45"/>
      <c r="D21" s="45"/>
      <c r="E21" s="45"/>
      <c r="F21" s="45" t="s">
        <v>148</v>
      </c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</row>
    <row r="22" spans="2:34" x14ac:dyDescent="0.2">
      <c r="C22" s="4" t="s">
        <v>146</v>
      </c>
      <c r="D22" s="4" t="s">
        <v>149</v>
      </c>
      <c r="F22" s="41" t="s">
        <v>165</v>
      </c>
      <c r="G22" s="84">
        <f>ROUNDUP(Electrification!B26,-4)</f>
        <v>320000</v>
      </c>
      <c r="H22" s="41" t="s">
        <v>149</v>
      </c>
      <c r="M22" s="77">
        <f>Electrification!B23</f>
        <v>5.5830000000000002</v>
      </c>
      <c r="N22" s="42" t="s">
        <v>239</v>
      </c>
      <c r="T22" s="4" t="s">
        <v>146</v>
      </c>
      <c r="V22" t="s">
        <v>147</v>
      </c>
    </row>
    <row r="23" spans="2:34" x14ac:dyDescent="0.2">
      <c r="C23">
        <v>2016</v>
      </c>
      <c r="D23">
        <v>2017</v>
      </c>
      <c r="E23">
        <v>2018</v>
      </c>
      <c r="F23">
        <v>2019</v>
      </c>
      <c r="G23">
        <v>2020</v>
      </c>
      <c r="H23">
        <v>2021</v>
      </c>
      <c r="I23">
        <v>2022</v>
      </c>
      <c r="J23">
        <v>2023</v>
      </c>
      <c r="K23">
        <v>2024</v>
      </c>
      <c r="L23">
        <v>2025</v>
      </c>
      <c r="M23">
        <v>2026</v>
      </c>
      <c r="N23">
        <v>2027</v>
      </c>
      <c r="O23">
        <v>2028</v>
      </c>
      <c r="P23">
        <v>2029</v>
      </c>
      <c r="Q23">
        <v>2030</v>
      </c>
      <c r="T23">
        <v>2016</v>
      </c>
      <c r="U23">
        <v>2017</v>
      </c>
      <c r="V23">
        <v>2018</v>
      </c>
      <c r="W23">
        <v>2019</v>
      </c>
      <c r="X23">
        <v>2020</v>
      </c>
      <c r="Y23">
        <v>2021</v>
      </c>
      <c r="Z23">
        <v>2022</v>
      </c>
      <c r="AA23">
        <v>2023</v>
      </c>
      <c r="AB23">
        <v>2024</v>
      </c>
      <c r="AC23">
        <v>2025</v>
      </c>
      <c r="AD23">
        <v>2026</v>
      </c>
      <c r="AE23">
        <v>2027</v>
      </c>
      <c r="AF23">
        <v>2028</v>
      </c>
      <c r="AG23">
        <v>2029</v>
      </c>
      <c r="AH23">
        <v>2030</v>
      </c>
    </row>
    <row r="24" spans="2:34" x14ac:dyDescent="0.2">
      <c r="B24" t="s">
        <v>94</v>
      </c>
      <c r="C24" s="40">
        <f>T24*$G$22</f>
        <v>1805802.7770643693</v>
      </c>
      <c r="D24" s="40">
        <f t="shared" ref="C24:Q27" si="3">U24*$G$22</f>
        <v>1838379.1558782386</v>
      </c>
      <c r="E24" s="40">
        <f t="shared" si="3"/>
        <v>1991885.336695943</v>
      </c>
      <c r="F24" s="40">
        <f t="shared" si="3"/>
        <v>1851905.1413554328</v>
      </c>
      <c r="G24" s="40">
        <f t="shared" si="3"/>
        <v>1930257.6298056319</v>
      </c>
      <c r="H24" s="40">
        <f t="shared" si="3"/>
        <v>1969949.6259491567</v>
      </c>
      <c r="I24" s="40">
        <f t="shared" si="3"/>
        <v>2009641.6220926822</v>
      </c>
      <c r="J24" s="40">
        <f t="shared" si="3"/>
        <v>2049333.6182362072</v>
      </c>
      <c r="K24" s="40">
        <f t="shared" si="3"/>
        <v>2089025.6143797324</v>
      </c>
      <c r="L24" s="40">
        <f t="shared" si="3"/>
        <v>2128717.6105232574</v>
      </c>
      <c r="M24" s="40">
        <f t="shared" si="3"/>
        <v>2202218.8445215044</v>
      </c>
      <c r="N24" s="40">
        <f t="shared" si="3"/>
        <v>2275720.0785197513</v>
      </c>
      <c r="O24" s="40">
        <f t="shared" si="3"/>
        <v>2349221.3125179983</v>
      </c>
      <c r="P24" s="40">
        <f t="shared" si="3"/>
        <v>2422722.5465162466</v>
      </c>
      <c r="Q24" s="40">
        <f t="shared" si="3"/>
        <v>2496223.7805144936</v>
      </c>
      <c r="S24" t="s">
        <v>94</v>
      </c>
      <c r="T24" s="10">
        <f t="shared" ref="T24:AH27" si="4">C$6/C13*$G$22/$T$28</f>
        <v>5.6431336783261541</v>
      </c>
      <c r="U24" s="10">
        <f t="shared" si="4"/>
        <v>5.7449348621194956</v>
      </c>
      <c r="V24" s="10">
        <f t="shared" si="4"/>
        <v>6.2246416771748221</v>
      </c>
      <c r="W24" s="10">
        <f t="shared" si="4"/>
        <v>5.7872035667357276</v>
      </c>
      <c r="X24" s="10">
        <f t="shared" si="4"/>
        <v>6.0320550931426</v>
      </c>
      <c r="Y24" s="10">
        <f t="shared" si="4"/>
        <v>6.1560925810911149</v>
      </c>
      <c r="Z24" s="10">
        <f t="shared" si="4"/>
        <v>6.2801300690396316</v>
      </c>
      <c r="AA24" s="10">
        <f t="shared" si="4"/>
        <v>6.4041675569881473</v>
      </c>
      <c r="AB24" s="10">
        <f t="shared" si="4"/>
        <v>6.528205044936664</v>
      </c>
      <c r="AC24" s="10">
        <f t="shared" si="4"/>
        <v>6.6522425328851789</v>
      </c>
      <c r="AD24" s="10">
        <f t="shared" si="4"/>
        <v>6.8819338891297006</v>
      </c>
      <c r="AE24" s="10">
        <f t="shared" si="4"/>
        <v>7.1116252453742224</v>
      </c>
      <c r="AF24" s="10">
        <f t="shared" si="4"/>
        <v>7.3413166016187441</v>
      </c>
      <c r="AG24" s="10">
        <f t="shared" si="4"/>
        <v>7.5710079578632703</v>
      </c>
      <c r="AH24" s="10">
        <f t="shared" si="4"/>
        <v>7.8006993141077929</v>
      </c>
    </row>
    <row r="25" spans="2:34" x14ac:dyDescent="0.2">
      <c r="B25" t="s">
        <v>97</v>
      </c>
      <c r="C25" s="40">
        <f t="shared" si="3"/>
        <v>7547573.3568864623</v>
      </c>
      <c r="D25" s="40">
        <f t="shared" si="3"/>
        <v>7880435.3582150256</v>
      </c>
      <c r="E25" s="40">
        <f t="shared" si="3"/>
        <v>8223037.2507598437</v>
      </c>
      <c r="F25" s="40">
        <f t="shared" si="3"/>
        <v>8575625.6210264117</v>
      </c>
      <c r="G25" s="40">
        <f t="shared" si="3"/>
        <v>8938452.8481990285</v>
      </c>
      <c r="H25" s="40">
        <f t="shared" si="3"/>
        <v>9122254.7565564737</v>
      </c>
      <c r="I25" s="40">
        <f t="shared" si="3"/>
        <v>9306056.6649139188</v>
      </c>
      <c r="J25" s="40">
        <f t="shared" si="3"/>
        <v>9489858.5732713677</v>
      </c>
      <c r="K25" s="40">
        <f t="shared" si="3"/>
        <v>9673660.4816288147</v>
      </c>
      <c r="L25" s="40">
        <f t="shared" si="3"/>
        <v>9857462.3899862599</v>
      </c>
      <c r="M25" s="40">
        <f t="shared" si="3"/>
        <v>10197824.890946262</v>
      </c>
      <c r="N25" s="40">
        <f t="shared" si="3"/>
        <v>10538187.391906267</v>
      </c>
      <c r="O25" s="40">
        <f t="shared" si="3"/>
        <v>10878549.892866272</v>
      </c>
      <c r="P25" s="40">
        <f t="shared" si="3"/>
        <v>11218912.393826278</v>
      </c>
      <c r="Q25" s="40">
        <f t="shared" si="3"/>
        <v>11559274.894786282</v>
      </c>
      <c r="S25" t="s">
        <v>97</v>
      </c>
      <c r="T25" s="10">
        <f t="shared" si="4"/>
        <v>23.586166740270194</v>
      </c>
      <c r="U25" s="10">
        <f t="shared" si="4"/>
        <v>24.626360494421956</v>
      </c>
      <c r="V25" s="10">
        <f t="shared" si="4"/>
        <v>25.696991408624513</v>
      </c>
      <c r="W25" s="10">
        <f t="shared" si="4"/>
        <v>26.798830065707534</v>
      </c>
      <c r="X25" s="10">
        <f t="shared" si="4"/>
        <v>27.932665150621965</v>
      </c>
      <c r="Y25" s="10">
        <f t="shared" si="4"/>
        <v>28.507046114238978</v>
      </c>
      <c r="Z25" s="10">
        <f t="shared" si="4"/>
        <v>29.081427077855999</v>
      </c>
      <c r="AA25" s="10">
        <f t="shared" si="4"/>
        <v>29.655808041473023</v>
      </c>
      <c r="AB25" s="10">
        <f t="shared" si="4"/>
        <v>30.230189005090047</v>
      </c>
      <c r="AC25" s="10">
        <f t="shared" si="4"/>
        <v>30.80456996870706</v>
      </c>
      <c r="AD25" s="10">
        <f t="shared" si="4"/>
        <v>31.868202784207067</v>
      </c>
      <c r="AE25" s="10">
        <f t="shared" si="4"/>
        <v>32.931835599707085</v>
      </c>
      <c r="AF25" s="10">
        <f t="shared" si="4"/>
        <v>33.9954684152071</v>
      </c>
      <c r="AG25" s="10">
        <f t="shared" si="4"/>
        <v>35.059101230707121</v>
      </c>
      <c r="AH25" s="10">
        <f t="shared" si="4"/>
        <v>36.122734046207128</v>
      </c>
    </row>
    <row r="26" spans="2:34" x14ac:dyDescent="0.2">
      <c r="B26" t="s">
        <v>101</v>
      </c>
      <c r="C26" s="40">
        <f>T26*$G$22</f>
        <v>336059.89681167918</v>
      </c>
      <c r="D26" s="40">
        <f t="shared" si="3"/>
        <v>379330.5538855865</v>
      </c>
      <c r="E26" s="40">
        <f t="shared" si="3"/>
        <v>465207.20717604598</v>
      </c>
      <c r="F26" s="40">
        <f t="shared" si="3"/>
        <v>574673.23223582364</v>
      </c>
      <c r="G26" s="40">
        <f t="shared" si="3"/>
        <v>716217.49768788018</v>
      </c>
      <c r="H26" s="40">
        <f t="shared" si="3"/>
        <v>884151.21515879978</v>
      </c>
      <c r="I26" s="40">
        <f t="shared" si="3"/>
        <v>1106957.9599130535</v>
      </c>
      <c r="J26" s="40">
        <f t="shared" si="3"/>
        <v>1411620.6747914581</v>
      </c>
      <c r="K26" s="40">
        <f t="shared" si="3"/>
        <v>1845467.8547315341</v>
      </c>
      <c r="L26" s="40">
        <f t="shared" si="3"/>
        <v>2499661.2548510348</v>
      </c>
      <c r="M26" s="40">
        <f t="shared" si="3"/>
        <v>3630702.6985491649</v>
      </c>
      <c r="N26" s="40">
        <f t="shared" si="3"/>
        <v>5788616.3927292498</v>
      </c>
      <c r="O26" s="40">
        <f>AF26*$G$22</f>
        <v>6251705.7041475903</v>
      </c>
      <c r="P26" s="40">
        <f>AG26*$G$22</f>
        <v>6751842.1604793984</v>
      </c>
      <c r="Q26" s="40">
        <f>AH26*Electrification!B26</f>
        <v>7279981.6640323522</v>
      </c>
      <c r="S26" t="s">
        <v>101</v>
      </c>
      <c r="T26" s="10">
        <f t="shared" si="4"/>
        <v>1.0501871775364975</v>
      </c>
      <c r="U26" s="10">
        <f t="shared" si="4"/>
        <v>1.1854079808924578</v>
      </c>
      <c r="V26" s="10">
        <f t="shared" si="4"/>
        <v>1.4537725224251437</v>
      </c>
      <c r="W26" s="10">
        <f t="shared" si="4"/>
        <v>1.7958538507369488</v>
      </c>
      <c r="X26" s="10">
        <f t="shared" si="4"/>
        <v>2.2381796802746257</v>
      </c>
      <c r="Y26" s="10">
        <f t="shared" si="4"/>
        <v>2.7629725473712492</v>
      </c>
      <c r="Z26" s="10">
        <f t="shared" si="4"/>
        <v>3.4592436247282921</v>
      </c>
      <c r="AA26" s="10">
        <f t="shared" si="4"/>
        <v>4.4113146087233064</v>
      </c>
      <c r="AB26" s="10">
        <f t="shared" si="4"/>
        <v>5.7670870460360444</v>
      </c>
      <c r="AC26" s="10">
        <f t="shared" si="4"/>
        <v>7.8114414214094836</v>
      </c>
      <c r="AD26" s="10">
        <f t="shared" si="4"/>
        <v>11.34594593296614</v>
      </c>
      <c r="AE26" s="10">
        <f t="shared" si="4"/>
        <v>18.089426227278906</v>
      </c>
      <c r="AF26" s="10">
        <f>AE26*(1+$E$2)</f>
        <v>19.53658032546122</v>
      </c>
      <c r="AG26" s="10">
        <f t="shared" ref="AG26:AH26" si="5">AF26*(1+$E$2)</f>
        <v>21.099506751498119</v>
      </c>
      <c r="AH26" s="10">
        <f t="shared" si="5"/>
        <v>22.787467291617968</v>
      </c>
    </row>
    <row r="27" spans="2:34" x14ac:dyDescent="0.2">
      <c r="B27" t="s">
        <v>100</v>
      </c>
      <c r="C27" s="40">
        <f t="shared" si="3"/>
        <v>3200570.4458255162</v>
      </c>
      <c r="D27" s="40">
        <f t="shared" si="3"/>
        <v>3341721.5461349292</v>
      </c>
      <c r="E27" s="40">
        <f t="shared" si="3"/>
        <v>3487002.8756581927</v>
      </c>
      <c r="F27" s="40">
        <f t="shared" si="3"/>
        <v>3636519.0001205434</v>
      </c>
      <c r="G27" s="40">
        <f t="shared" si="3"/>
        <v>3790376.9416495198</v>
      </c>
      <c r="H27" s="40">
        <f t="shared" si="3"/>
        <v>3868318.6757617728</v>
      </c>
      <c r="I27" s="40">
        <f t="shared" si="3"/>
        <v>3946260.4098740276</v>
      </c>
      <c r="J27" s="40">
        <f t="shared" si="3"/>
        <v>4024202.143986281</v>
      </c>
      <c r="K27" s="40">
        <f t="shared" si="3"/>
        <v>4102143.878098534</v>
      </c>
      <c r="L27" s="40">
        <f t="shared" si="3"/>
        <v>4180085.6122107878</v>
      </c>
      <c r="M27" s="40">
        <f t="shared" si="3"/>
        <v>4324417.3212157646</v>
      </c>
      <c r="N27" s="40">
        <f t="shared" si="3"/>
        <v>4468749.0302207395</v>
      </c>
      <c r="O27" s="40">
        <f t="shared" si="3"/>
        <v>4613080.7392257154</v>
      </c>
      <c r="P27" s="40">
        <f t="shared" si="3"/>
        <v>4757412.4482306931</v>
      </c>
      <c r="Q27" s="40">
        <f t="shared" si="3"/>
        <v>4901744.1572356699</v>
      </c>
      <c r="S27" t="s">
        <v>100</v>
      </c>
      <c r="T27" s="10">
        <f t="shared" si="4"/>
        <v>10.001782643204738</v>
      </c>
      <c r="U27" s="10">
        <f t="shared" si="4"/>
        <v>10.442879831671654</v>
      </c>
      <c r="V27" s="10">
        <f t="shared" si="4"/>
        <v>10.896883986431853</v>
      </c>
      <c r="W27" s="10">
        <f t="shared" si="4"/>
        <v>11.364121875376698</v>
      </c>
      <c r="X27" s="10">
        <f t="shared" si="4"/>
        <v>11.844927942654749</v>
      </c>
      <c r="Y27" s="10">
        <f t="shared" si="4"/>
        <v>12.08849586175554</v>
      </c>
      <c r="Z27" s="10">
        <f t="shared" si="4"/>
        <v>12.332063780856336</v>
      </c>
      <c r="AA27" s="10">
        <f t="shared" si="4"/>
        <v>12.575631699957128</v>
      </c>
      <c r="AB27" s="10">
        <f t="shared" si="4"/>
        <v>12.819199619057919</v>
      </c>
      <c r="AC27" s="10">
        <f t="shared" si="4"/>
        <v>13.062767538158711</v>
      </c>
      <c r="AD27" s="10">
        <f t="shared" si="4"/>
        <v>13.513804128799263</v>
      </c>
      <c r="AE27" s="10">
        <f t="shared" si="4"/>
        <v>13.964840719439811</v>
      </c>
      <c r="AF27" s="10">
        <f t="shared" si="4"/>
        <v>14.415877310080361</v>
      </c>
      <c r="AG27" s="10">
        <f t="shared" si="4"/>
        <v>14.866913900720915</v>
      </c>
      <c r="AH27" s="10">
        <f t="shared" si="4"/>
        <v>15.317950491361469</v>
      </c>
    </row>
    <row r="28" spans="2:34" x14ac:dyDescent="0.2">
      <c r="S28" t="s">
        <v>187</v>
      </c>
      <c r="T28" s="40">
        <f>Electrification!B22</f>
        <v>293842.10526315792</v>
      </c>
      <c r="U28" s="40">
        <f>Electrification!C22</f>
        <v>301364.52241715399</v>
      </c>
      <c r="V28" s="40">
        <f>Electrification!D22</f>
        <v>290231.75222005631</v>
      </c>
      <c r="W28" s="40">
        <f>Electrification!E22</f>
        <v>325554.78010679793</v>
      </c>
      <c r="X28" s="40">
        <f>Electrification!F22</f>
        <v>325554.78010679793</v>
      </c>
      <c r="Y28" s="40">
        <f>Electrification!G22</f>
        <v>325554.78010679793</v>
      </c>
      <c r="Z28" s="40">
        <f>Electrification!H22</f>
        <v>325554.78010679793</v>
      </c>
      <c r="AA28" s="40">
        <f>Electrification!I22</f>
        <v>325554.78010679787</v>
      </c>
      <c r="AB28" s="40">
        <f>Electrification!J22</f>
        <v>325554.78010679787</v>
      </c>
      <c r="AC28" s="40">
        <f>Electrification!K22</f>
        <v>325554.78010679781</v>
      </c>
      <c r="AD28" s="40">
        <f>Electrification!L22</f>
        <v>325554.78010679787</v>
      </c>
      <c r="AE28" s="40">
        <f>Electrification!M22</f>
        <v>325554.78010679793</v>
      </c>
      <c r="AF28" s="40">
        <f>Electrification!N22</f>
        <v>325554.78010679793</v>
      </c>
      <c r="AG28" s="40">
        <f>Electrification!O22</f>
        <v>325554.78010679787</v>
      </c>
      <c r="AH28" s="40">
        <f>Electrification!P22</f>
        <v>325554.78010679793</v>
      </c>
    </row>
    <row r="29" spans="2:34" x14ac:dyDescent="0.2"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2:34" x14ac:dyDescent="0.2">
      <c r="C30" s="4" t="s">
        <v>129</v>
      </c>
      <c r="E30" s="4" t="s">
        <v>150</v>
      </c>
      <c r="F30" s="41" t="s">
        <v>165</v>
      </c>
      <c r="G30" s="46">
        <f>LPG!B12</f>
        <v>1000000</v>
      </c>
      <c r="H30" s="41" t="s">
        <v>150</v>
      </c>
      <c r="I30" s="41" t="s">
        <v>151</v>
      </c>
      <c r="J30" s="46">
        <f>LPG!B11</f>
        <v>5</v>
      </c>
      <c r="K30" s="41" t="s">
        <v>152</v>
      </c>
      <c r="M30" s="78">
        <f>LPG!B19</f>
        <v>1.3357666666666668</v>
      </c>
      <c r="N30" s="42" t="s">
        <v>239</v>
      </c>
      <c r="T30" s="4" t="s">
        <v>129</v>
      </c>
    </row>
    <row r="31" spans="2:34" x14ac:dyDescent="0.2">
      <c r="B31" t="s">
        <v>94</v>
      </c>
      <c r="C31" s="9">
        <f t="shared" ref="C31:Q34" si="6">T31*$G$30</f>
        <v>1177331.5463580452</v>
      </c>
      <c r="D31" s="9">
        <f t="shared" si="6"/>
        <v>1177405.8302323222</v>
      </c>
      <c r="E31" s="9">
        <f t="shared" si="6"/>
        <v>1253885.2597840743</v>
      </c>
      <c r="F31" s="9">
        <f t="shared" si="6"/>
        <v>1146416.0701384733</v>
      </c>
      <c r="G31" s="9">
        <f t="shared" si="6"/>
        <v>1175669.8408285629</v>
      </c>
      <c r="H31" s="9">
        <f t="shared" si="6"/>
        <v>1166130.341206264</v>
      </c>
      <c r="I31" s="9">
        <f t="shared" si="6"/>
        <v>1156590.8415839658</v>
      </c>
      <c r="J31" s="9">
        <f t="shared" si="6"/>
        <v>1147051.3419616672</v>
      </c>
      <c r="K31" s="9">
        <f t="shared" si="6"/>
        <v>1137511.8423393688</v>
      </c>
      <c r="L31" s="9">
        <f t="shared" si="6"/>
        <v>1127972.3427170706</v>
      </c>
      <c r="M31" s="9">
        <f t="shared" si="6"/>
        <v>1118557.8697448757</v>
      </c>
      <c r="N31" s="9">
        <f t="shared" si="6"/>
        <v>1109143.396772681</v>
      </c>
      <c r="O31" s="9">
        <f t="shared" si="6"/>
        <v>1099728.9238004859</v>
      </c>
      <c r="P31" s="9">
        <f t="shared" si="6"/>
        <v>1090314.4508282915</v>
      </c>
      <c r="Q31" s="9">
        <f t="shared" si="6"/>
        <v>1080899.9778560959</v>
      </c>
      <c r="S31" t="s">
        <v>94</v>
      </c>
      <c r="T31" s="10">
        <f t="shared" ref="T31:AH34" si="7">C$7/C13</f>
        <v>1.1773315463580452</v>
      </c>
      <c r="U31" s="10">
        <f t="shared" si="7"/>
        <v>1.1774058302323223</v>
      </c>
      <c r="V31" s="10">
        <f t="shared" si="7"/>
        <v>1.2538852597840742</v>
      </c>
      <c r="W31" s="10">
        <f t="shared" si="7"/>
        <v>1.1464160701384734</v>
      </c>
      <c r="X31" s="10">
        <f t="shared" si="7"/>
        <v>1.1756698408285629</v>
      </c>
      <c r="Y31" s="10">
        <f t="shared" si="7"/>
        <v>1.166130341206264</v>
      </c>
      <c r="Z31" s="10">
        <f t="shared" si="7"/>
        <v>1.1565908415839659</v>
      </c>
      <c r="AA31" s="10">
        <f t="shared" si="7"/>
        <v>1.1470513419616672</v>
      </c>
      <c r="AB31" s="10">
        <f t="shared" si="7"/>
        <v>1.1375118423393689</v>
      </c>
      <c r="AC31" s="10">
        <f t="shared" si="7"/>
        <v>1.1279723427170707</v>
      </c>
      <c r="AD31" s="10">
        <f t="shared" si="7"/>
        <v>1.1185578697448757</v>
      </c>
      <c r="AE31" s="10">
        <f t="shared" si="7"/>
        <v>1.1091433967726809</v>
      </c>
      <c r="AF31" s="10">
        <f t="shared" si="7"/>
        <v>1.0997289238004859</v>
      </c>
      <c r="AG31" s="10">
        <f t="shared" si="7"/>
        <v>1.0903144508282914</v>
      </c>
      <c r="AH31" s="10">
        <f t="shared" si="7"/>
        <v>1.0808999778560959</v>
      </c>
    </row>
    <row r="32" spans="2:34" x14ac:dyDescent="0.2">
      <c r="B32" t="s">
        <v>97</v>
      </c>
      <c r="C32" s="9">
        <f t="shared" si="6"/>
        <v>4920801.0555613246</v>
      </c>
      <c r="D32" s="9">
        <f t="shared" si="6"/>
        <v>5047092.9818058982</v>
      </c>
      <c r="E32" s="9">
        <f t="shared" si="6"/>
        <v>5176374.869291503</v>
      </c>
      <c r="F32" s="9">
        <f t="shared" si="6"/>
        <v>5308714.1473349426</v>
      </c>
      <c r="G32" s="9">
        <f t="shared" si="6"/>
        <v>5444179.7172711799</v>
      </c>
      <c r="H32" s="9">
        <f t="shared" si="6"/>
        <v>5400005.1126729781</v>
      </c>
      <c r="I32" s="9">
        <f t="shared" si="6"/>
        <v>5355830.5080747753</v>
      </c>
      <c r="J32" s="9">
        <f t="shared" si="6"/>
        <v>5311655.9034765717</v>
      </c>
      <c r="K32" s="9">
        <f t="shared" si="6"/>
        <v>5267481.2988783699</v>
      </c>
      <c r="L32" s="9">
        <f t="shared" si="6"/>
        <v>5223306.694280168</v>
      </c>
      <c r="M32" s="9">
        <f t="shared" si="6"/>
        <v>5179711.0511633046</v>
      </c>
      <c r="N32" s="9">
        <f t="shared" si="6"/>
        <v>5136115.408046443</v>
      </c>
      <c r="O32" s="9">
        <f t="shared" si="6"/>
        <v>5092519.7649295796</v>
      </c>
      <c r="P32" s="9">
        <f t="shared" si="6"/>
        <v>5048924.121812718</v>
      </c>
      <c r="Q32" s="9">
        <f t="shared" si="6"/>
        <v>5005328.4786958518</v>
      </c>
      <c r="S32" t="s">
        <v>97</v>
      </c>
      <c r="T32" s="10">
        <f t="shared" si="7"/>
        <v>4.9208010555613244</v>
      </c>
      <c r="U32" s="10">
        <f t="shared" si="7"/>
        <v>5.047092981805898</v>
      </c>
      <c r="V32" s="10">
        <f t="shared" si="7"/>
        <v>5.1763748692915028</v>
      </c>
      <c r="W32" s="10">
        <f t="shared" si="7"/>
        <v>5.3087141473349426</v>
      </c>
      <c r="X32" s="10">
        <f t="shared" si="7"/>
        <v>5.4441797172711803</v>
      </c>
      <c r="Y32" s="10">
        <f t="shared" si="7"/>
        <v>5.4000051126729778</v>
      </c>
      <c r="Z32" s="10">
        <f t="shared" si="7"/>
        <v>5.3558305080747752</v>
      </c>
      <c r="AA32" s="10">
        <f t="shared" si="7"/>
        <v>5.3116559034765718</v>
      </c>
      <c r="AB32" s="10">
        <f t="shared" si="7"/>
        <v>5.2674812988783701</v>
      </c>
      <c r="AC32" s="10">
        <f t="shared" si="7"/>
        <v>5.2233066942801685</v>
      </c>
      <c r="AD32" s="10">
        <f t="shared" si="7"/>
        <v>5.1797110511633049</v>
      </c>
      <c r="AE32" s="10">
        <f t="shared" si="7"/>
        <v>5.1361154080464431</v>
      </c>
      <c r="AF32" s="10">
        <f t="shared" si="7"/>
        <v>5.0925197649295795</v>
      </c>
      <c r="AG32" s="10">
        <f t="shared" si="7"/>
        <v>5.0489241218127177</v>
      </c>
      <c r="AH32" s="10">
        <f t="shared" si="7"/>
        <v>5.0053284786958514</v>
      </c>
    </row>
    <row r="33" spans="2:36" x14ac:dyDescent="0.2">
      <c r="B33" t="s">
        <v>101</v>
      </c>
      <c r="C33" s="9">
        <f t="shared" si="6"/>
        <v>219101.40077723219</v>
      </c>
      <c r="D33" s="9">
        <f t="shared" si="6"/>
        <v>242945.53400589523</v>
      </c>
      <c r="E33" s="9">
        <f t="shared" si="6"/>
        <v>292846.40489946131</v>
      </c>
      <c r="F33" s="9">
        <f t="shared" si="6"/>
        <v>355749.6622269607</v>
      </c>
      <c r="G33" s="9">
        <f t="shared" si="6"/>
        <v>436229.4952255314</v>
      </c>
      <c r="H33" s="9">
        <f t="shared" si="6"/>
        <v>523381.68683592248</v>
      </c>
      <c r="I33" s="9">
        <f t="shared" si="6"/>
        <v>637077.48903046094</v>
      </c>
      <c r="J33" s="9">
        <f t="shared" si="6"/>
        <v>790111.17318905273</v>
      </c>
      <c r="K33" s="9">
        <f t="shared" si="6"/>
        <v>1004890.2823228672</v>
      </c>
      <c r="L33" s="9">
        <f t="shared" si="6"/>
        <v>1324529.2601024448</v>
      </c>
      <c r="M33" s="9">
        <f t="shared" si="6"/>
        <v>1844117.847901046</v>
      </c>
      <c r="N33" s="9">
        <f t="shared" si="6"/>
        <v>2821263.3482681732</v>
      </c>
      <c r="O33" s="9">
        <f t="shared" si="6"/>
        <v>3046964.4161296273</v>
      </c>
      <c r="P33" s="9">
        <f t="shared" si="6"/>
        <v>3290721.5694199973</v>
      </c>
      <c r="Q33" s="9">
        <f t="shared" si="6"/>
        <v>3553979.2949735974</v>
      </c>
      <c r="S33" t="s">
        <v>101</v>
      </c>
      <c r="T33" s="10">
        <f t="shared" si="7"/>
        <v>0.2191014007772322</v>
      </c>
      <c r="U33" s="10">
        <f t="shared" si="7"/>
        <v>0.24294553400589522</v>
      </c>
      <c r="V33" s="10">
        <f t="shared" si="7"/>
        <v>0.29284640489946129</v>
      </c>
      <c r="W33" s="10">
        <f t="shared" si="7"/>
        <v>0.35574966222696069</v>
      </c>
      <c r="X33" s="10">
        <f t="shared" si="7"/>
        <v>0.43622949522553139</v>
      </c>
      <c r="Y33" s="10">
        <f t="shared" si="7"/>
        <v>0.52338168683592246</v>
      </c>
      <c r="Z33" s="10">
        <f t="shared" si="7"/>
        <v>0.63707748903046091</v>
      </c>
      <c r="AA33" s="10">
        <f t="shared" si="7"/>
        <v>0.79011117318905277</v>
      </c>
      <c r="AB33" s="10">
        <f t="shared" si="7"/>
        <v>1.0048902823228671</v>
      </c>
      <c r="AC33" s="10">
        <f t="shared" si="7"/>
        <v>1.3245292601024448</v>
      </c>
      <c r="AD33" s="10">
        <f t="shared" si="7"/>
        <v>1.844117847901046</v>
      </c>
      <c r="AE33" s="10">
        <f t="shared" si="7"/>
        <v>2.821263348268173</v>
      </c>
      <c r="AF33" s="10">
        <f>AE33*(1+$E$2)</f>
        <v>3.0469644161296272</v>
      </c>
      <c r="AG33" s="10">
        <f t="shared" ref="AG33:AH33" si="8">AF33*(1+$E$2)</f>
        <v>3.2907215694199974</v>
      </c>
      <c r="AH33" s="10">
        <f t="shared" si="8"/>
        <v>3.5539792949735975</v>
      </c>
    </row>
    <row r="34" spans="2:36" x14ac:dyDescent="0.2">
      <c r="B34" t="s">
        <v>100</v>
      </c>
      <c r="C34" s="9">
        <f t="shared" si="6"/>
        <v>2086680.0074022117</v>
      </c>
      <c r="D34" s="9">
        <f t="shared" si="6"/>
        <v>2140234.4662424102</v>
      </c>
      <c r="E34" s="9">
        <f t="shared" si="6"/>
        <v>2195056.826847814</v>
      </c>
      <c r="F34" s="9">
        <f t="shared" si="6"/>
        <v>2251175.6828164356</v>
      </c>
      <c r="G34" s="9">
        <f t="shared" si="6"/>
        <v>2308620.2519598734</v>
      </c>
      <c r="H34" s="9">
        <f t="shared" si="6"/>
        <v>2289887.8823295687</v>
      </c>
      <c r="I34" s="9">
        <f t="shared" si="6"/>
        <v>2271155.5126992641</v>
      </c>
      <c r="J34" s="9">
        <f t="shared" si="6"/>
        <v>2252423.1430689595</v>
      </c>
      <c r="K34" s="9">
        <f t="shared" si="6"/>
        <v>2233690.7734386553</v>
      </c>
      <c r="L34" s="9">
        <f t="shared" si="6"/>
        <v>2214958.4038083516</v>
      </c>
      <c r="M34" s="9">
        <f t="shared" si="6"/>
        <v>2196471.5444790176</v>
      </c>
      <c r="N34" s="9">
        <f t="shared" si="6"/>
        <v>2177984.6851496841</v>
      </c>
      <c r="O34" s="9">
        <f t="shared" si="6"/>
        <v>2159497.8258203501</v>
      </c>
      <c r="P34" s="9">
        <f t="shared" si="6"/>
        <v>2141010.9664910166</v>
      </c>
      <c r="Q34" s="9">
        <f t="shared" si="6"/>
        <v>2122524.1071616812</v>
      </c>
      <c r="S34" t="s">
        <v>100</v>
      </c>
      <c r="T34" s="10">
        <f t="shared" si="7"/>
        <v>2.0866800074022116</v>
      </c>
      <c r="U34" s="10">
        <f t="shared" si="7"/>
        <v>2.1402344662424104</v>
      </c>
      <c r="V34" s="10">
        <f t="shared" si="7"/>
        <v>2.1950568268478139</v>
      </c>
      <c r="W34" s="10">
        <f t="shared" si="7"/>
        <v>2.2511756828164358</v>
      </c>
      <c r="X34" s="10">
        <f t="shared" si="7"/>
        <v>2.3086202519598733</v>
      </c>
      <c r="Y34" s="10">
        <f t="shared" si="7"/>
        <v>2.2898878823295687</v>
      </c>
      <c r="Z34" s="10">
        <f t="shared" si="7"/>
        <v>2.2711555126992642</v>
      </c>
      <c r="AA34" s="10">
        <f t="shared" si="7"/>
        <v>2.2524231430689596</v>
      </c>
      <c r="AB34" s="10">
        <f t="shared" si="7"/>
        <v>2.2336907734386555</v>
      </c>
      <c r="AC34" s="10">
        <f t="shared" si="7"/>
        <v>2.2149584038083514</v>
      </c>
      <c r="AD34" s="10">
        <f t="shared" si="7"/>
        <v>2.1964715444790177</v>
      </c>
      <c r="AE34" s="10">
        <f t="shared" si="7"/>
        <v>2.177984685149684</v>
      </c>
      <c r="AF34" s="10">
        <f t="shared" si="7"/>
        <v>2.1594978258203499</v>
      </c>
      <c r="AG34" s="10">
        <f t="shared" si="7"/>
        <v>2.1410109664910166</v>
      </c>
      <c r="AH34" s="10">
        <f t="shared" si="7"/>
        <v>2.1225241071616812</v>
      </c>
    </row>
    <row r="35" spans="2:36" x14ac:dyDescent="0.2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2:36" x14ac:dyDescent="0.2">
      <c r="C36" s="39" t="s">
        <v>128</v>
      </c>
      <c r="E36" s="4" t="s">
        <v>153</v>
      </c>
      <c r="F36" s="41" t="s">
        <v>165</v>
      </c>
      <c r="G36" s="46">
        <f>'Sust housing Fig 5'!B12</f>
        <v>250000</v>
      </c>
      <c r="H36" s="41" t="s">
        <v>153</v>
      </c>
      <c r="I36" s="41" t="s">
        <v>155</v>
      </c>
      <c r="J36" s="46"/>
      <c r="K36" s="41" t="s">
        <v>154</v>
      </c>
      <c r="L36" s="41"/>
      <c r="M36" s="78">
        <f>'Sust housing Fig 5'!B29</f>
        <v>30</v>
      </c>
      <c r="N36" s="42" t="s">
        <v>239</v>
      </c>
      <c r="T36" s="39" t="s">
        <v>128</v>
      </c>
    </row>
    <row r="37" spans="2:36" x14ac:dyDescent="0.2">
      <c r="B37" t="s">
        <v>94</v>
      </c>
      <c r="C37" s="9">
        <f t="shared" ref="C37:Q40" si="9">T37*$G$36</f>
        <v>809663.22281288356</v>
      </c>
      <c r="D37" s="9">
        <f t="shared" si="9"/>
        <v>824269.41136958136</v>
      </c>
      <c r="E37" s="9">
        <f t="shared" si="9"/>
        <v>893096.58932121284</v>
      </c>
      <c r="F37" s="9">
        <f t="shared" si="9"/>
        <v>830334.02325980586</v>
      </c>
      <c r="G37" s="9">
        <f t="shared" si="9"/>
        <v>865464.73028924584</v>
      </c>
      <c r="H37" s="9">
        <f t="shared" si="9"/>
        <v>883261.3301868753</v>
      </c>
      <c r="I37" s="9">
        <f t="shared" si="9"/>
        <v>901057.93008450523</v>
      </c>
      <c r="J37" s="9">
        <f t="shared" si="9"/>
        <v>918854.52998213493</v>
      </c>
      <c r="K37" s="9">
        <f t="shared" si="9"/>
        <v>936651.1298797644</v>
      </c>
      <c r="L37" s="9">
        <f t="shared" si="9"/>
        <v>954447.72977739398</v>
      </c>
      <c r="M37" s="9">
        <f t="shared" si="9"/>
        <v>987403.29212096822</v>
      </c>
      <c r="N37" s="9">
        <f t="shared" si="9"/>
        <v>1020358.8544645426</v>
      </c>
      <c r="O37" s="9">
        <f t="shared" si="9"/>
        <v>1053314.4168081167</v>
      </c>
      <c r="P37" s="9">
        <f t="shared" si="9"/>
        <v>1086269.9791516913</v>
      </c>
      <c r="Q37" s="9">
        <f t="shared" si="9"/>
        <v>1119225.5414952659</v>
      </c>
      <c r="S37" t="s">
        <v>94</v>
      </c>
      <c r="T37" s="10">
        <f t="shared" ref="T37:AH40" si="10">C$8/C13</f>
        <v>3.2386528912515344</v>
      </c>
      <c r="U37" s="10">
        <f t="shared" si="10"/>
        <v>3.2970776454783253</v>
      </c>
      <c r="V37" s="10">
        <f t="shared" si="10"/>
        <v>3.5723863572848513</v>
      </c>
      <c r="W37" s="10">
        <f t="shared" si="10"/>
        <v>3.3213360930392235</v>
      </c>
      <c r="X37" s="10">
        <f t="shared" si="10"/>
        <v>3.4618589211569835</v>
      </c>
      <c r="Y37" s="10">
        <f t="shared" si="10"/>
        <v>3.5330453207475014</v>
      </c>
      <c r="Z37" s="10">
        <f t="shared" si="10"/>
        <v>3.6042317203380208</v>
      </c>
      <c r="AA37" s="10">
        <f t="shared" si="10"/>
        <v>3.6754181199285396</v>
      </c>
      <c r="AB37" s="10">
        <f t="shared" si="10"/>
        <v>3.7466045195190576</v>
      </c>
      <c r="AC37" s="10">
        <f t="shared" si="10"/>
        <v>3.817790919109576</v>
      </c>
      <c r="AD37" s="10">
        <f t="shared" si="10"/>
        <v>3.9496131684838729</v>
      </c>
      <c r="AE37" s="10">
        <f t="shared" si="10"/>
        <v>4.0814354178581702</v>
      </c>
      <c r="AF37" s="10">
        <f t="shared" si="10"/>
        <v>4.2132576672324671</v>
      </c>
      <c r="AG37" s="10">
        <f t="shared" si="10"/>
        <v>4.3450799166067648</v>
      </c>
      <c r="AH37" s="10">
        <f t="shared" si="10"/>
        <v>4.4769021659810635</v>
      </c>
    </row>
    <row r="38" spans="2:36" x14ac:dyDescent="0.2">
      <c r="B38" t="s">
        <v>97</v>
      </c>
      <c r="C38" s="9">
        <f t="shared" si="9"/>
        <v>3384086.3720941748</v>
      </c>
      <c r="D38" s="9">
        <f t="shared" si="9"/>
        <v>3533330.8655519579</v>
      </c>
      <c r="E38" s="9">
        <f t="shared" si="9"/>
        <v>3686942.4093942903</v>
      </c>
      <c r="F38" s="9">
        <f t="shared" si="9"/>
        <v>3845031.564988825</v>
      </c>
      <c r="G38" s="9">
        <f t="shared" si="9"/>
        <v>4007711.4909519535</v>
      </c>
      <c r="H38" s="9">
        <f t="shared" si="9"/>
        <v>4090122.2876181188</v>
      </c>
      <c r="I38" s="9">
        <f t="shared" si="9"/>
        <v>4172533.0842842842</v>
      </c>
      <c r="J38" s="9">
        <f t="shared" si="9"/>
        <v>4254943.880950449</v>
      </c>
      <c r="K38" s="9">
        <f t="shared" si="9"/>
        <v>4337354.6776166148</v>
      </c>
      <c r="L38" s="9">
        <f t="shared" si="9"/>
        <v>4419765.4742827797</v>
      </c>
      <c r="M38" s="9">
        <f t="shared" si="9"/>
        <v>4572372.9477854669</v>
      </c>
      <c r="N38" s="9">
        <f t="shared" si="9"/>
        <v>4724980.4212881532</v>
      </c>
      <c r="O38" s="9">
        <f t="shared" si="9"/>
        <v>4877587.8947908394</v>
      </c>
      <c r="P38" s="9">
        <f t="shared" si="9"/>
        <v>5030195.3682935275</v>
      </c>
      <c r="Q38" s="9">
        <f t="shared" si="9"/>
        <v>5182802.8417962147</v>
      </c>
      <c r="S38" t="s">
        <v>97</v>
      </c>
      <c r="T38" s="10">
        <f t="shared" si="10"/>
        <v>13.5363454883767</v>
      </c>
      <c r="U38" s="10">
        <f t="shared" si="10"/>
        <v>14.133323462207832</v>
      </c>
      <c r="V38" s="10">
        <f t="shared" si="10"/>
        <v>14.747769637577161</v>
      </c>
      <c r="W38" s="10">
        <f t="shared" si="10"/>
        <v>15.380126259955301</v>
      </c>
      <c r="X38" s="10">
        <f t="shared" si="10"/>
        <v>16.030845963807813</v>
      </c>
      <c r="Y38" s="10">
        <f t="shared" si="10"/>
        <v>16.360489150472475</v>
      </c>
      <c r="Z38" s="10">
        <f t="shared" si="10"/>
        <v>16.690132337137136</v>
      </c>
      <c r="AA38" s="10">
        <f t="shared" si="10"/>
        <v>17.019775523801798</v>
      </c>
      <c r="AB38" s="10">
        <f t="shared" si="10"/>
        <v>17.349418710466459</v>
      </c>
      <c r="AC38" s="10">
        <f t="shared" si="10"/>
        <v>17.67906189713112</v>
      </c>
      <c r="AD38" s="10">
        <f t="shared" si="10"/>
        <v>18.289491791141867</v>
      </c>
      <c r="AE38" s="10">
        <f t="shared" si="10"/>
        <v>18.899921685152613</v>
      </c>
      <c r="AF38" s="10">
        <f t="shared" si="10"/>
        <v>19.510351579163359</v>
      </c>
      <c r="AG38" s="10">
        <f t="shared" si="10"/>
        <v>20.120781473174109</v>
      </c>
      <c r="AH38" s="10">
        <f t="shared" si="10"/>
        <v>20.731211367184859</v>
      </c>
    </row>
    <row r="39" spans="2:36" x14ac:dyDescent="0.2">
      <c r="B39" t="s">
        <v>101</v>
      </c>
      <c r="C39" s="9">
        <f t="shared" si="9"/>
        <v>150678.32576547767</v>
      </c>
      <c r="D39" s="9">
        <f t="shared" si="9"/>
        <v>170079.48081112746</v>
      </c>
      <c r="E39" s="9">
        <f t="shared" si="9"/>
        <v>208583.77859528107</v>
      </c>
      <c r="F39" s="9">
        <f t="shared" si="9"/>
        <v>257664.78332299509</v>
      </c>
      <c r="G39" s="9">
        <f t="shared" si="9"/>
        <v>321128.62754351442</v>
      </c>
      <c r="H39" s="9">
        <f t="shared" si="9"/>
        <v>396424.64360540925</v>
      </c>
      <c r="I39" s="9">
        <f t="shared" si="9"/>
        <v>496323.94009195245</v>
      </c>
      <c r="J39" s="9">
        <f t="shared" si="9"/>
        <v>632924.79082293937</v>
      </c>
      <c r="K39" s="9">
        <f t="shared" si="9"/>
        <v>827447.75334136595</v>
      </c>
      <c r="L39" s="9">
        <f t="shared" si="9"/>
        <v>1120766.7931673815</v>
      </c>
      <c r="M39" s="9">
        <f t="shared" si="9"/>
        <v>1627888.9839573898</v>
      </c>
      <c r="N39" s="9">
        <f t="shared" si="9"/>
        <v>2595427.2879034257</v>
      </c>
      <c r="O39" s="9">
        <f t="shared" si="9"/>
        <v>2803061.4709357005</v>
      </c>
      <c r="P39" s="9">
        <f t="shared" si="9"/>
        <v>3027306.3886105563</v>
      </c>
      <c r="Q39" s="9">
        <f t="shared" si="9"/>
        <v>3269490.8996994011</v>
      </c>
      <c r="S39" t="s">
        <v>101</v>
      </c>
      <c r="T39" s="10">
        <f t="shared" si="10"/>
        <v>0.60271330306191062</v>
      </c>
      <c r="U39" s="10">
        <f t="shared" si="10"/>
        <v>0.6803179232445099</v>
      </c>
      <c r="V39" s="10">
        <f t="shared" si="10"/>
        <v>0.83433511438112429</v>
      </c>
      <c r="W39" s="10">
        <f t="shared" si="10"/>
        <v>1.0306591332919803</v>
      </c>
      <c r="X39" s="10">
        <f t="shared" si="10"/>
        <v>1.2845145101740576</v>
      </c>
      <c r="Y39" s="10">
        <f t="shared" si="10"/>
        <v>1.585698574421637</v>
      </c>
      <c r="Z39" s="10">
        <f t="shared" si="10"/>
        <v>1.9852957603678099</v>
      </c>
      <c r="AA39" s="10">
        <f t="shared" si="10"/>
        <v>2.5316991632917576</v>
      </c>
      <c r="AB39" s="10">
        <f t="shared" si="10"/>
        <v>3.309791013365464</v>
      </c>
      <c r="AC39" s="10">
        <f t="shared" si="10"/>
        <v>4.4830671726695259</v>
      </c>
      <c r="AD39" s="10">
        <f t="shared" si="10"/>
        <v>6.5115559358295592</v>
      </c>
      <c r="AE39" s="10">
        <f t="shared" si="10"/>
        <v>10.381709151613704</v>
      </c>
      <c r="AF39" s="10">
        <f>AE39*(1+$E$2)</f>
        <v>11.212245883742801</v>
      </c>
      <c r="AG39" s="10">
        <f t="shared" ref="AG39:AH39" si="11">AF39*(1+$E$2)</f>
        <v>12.109225554442226</v>
      </c>
      <c r="AH39" s="10">
        <f t="shared" si="11"/>
        <v>13.077963598797604</v>
      </c>
    </row>
    <row r="40" spans="2:36" x14ac:dyDescent="0.2">
      <c r="B40" t="s">
        <v>100</v>
      </c>
      <c r="C40" s="9">
        <f t="shared" si="9"/>
        <v>1435031.6739569299</v>
      </c>
      <c r="D40" s="9">
        <f t="shared" si="9"/>
        <v>1498319.2357170754</v>
      </c>
      <c r="E40" s="9">
        <f t="shared" si="9"/>
        <v>1563458.6579011367</v>
      </c>
      <c r="F40" s="9">
        <f t="shared" si="9"/>
        <v>1630496.8243788064</v>
      </c>
      <c r="G40" s="9">
        <f t="shared" si="9"/>
        <v>1699481.720390663</v>
      </c>
      <c r="H40" s="9">
        <f t="shared" si="9"/>
        <v>1734428.2585367288</v>
      </c>
      <c r="I40" s="9">
        <f t="shared" si="9"/>
        <v>1769374.7966827948</v>
      </c>
      <c r="J40" s="9">
        <f t="shared" si="9"/>
        <v>1804321.3348288611</v>
      </c>
      <c r="K40" s="9">
        <f t="shared" si="9"/>
        <v>1839267.8729749271</v>
      </c>
      <c r="L40" s="9">
        <f t="shared" si="9"/>
        <v>1874214.4111209931</v>
      </c>
      <c r="M40" s="9">
        <f t="shared" si="9"/>
        <v>1938928.0543556297</v>
      </c>
      <c r="N40" s="9">
        <f t="shared" si="9"/>
        <v>2003641.6975902664</v>
      </c>
      <c r="O40" s="9">
        <f t="shared" si="9"/>
        <v>2068355.340824903</v>
      </c>
      <c r="P40" s="9">
        <f t="shared" si="9"/>
        <v>2133068.9840595401</v>
      </c>
      <c r="Q40" s="9">
        <f t="shared" si="9"/>
        <v>2197782.6272941772</v>
      </c>
      <c r="S40" t="s">
        <v>100</v>
      </c>
      <c r="T40" s="10">
        <f t="shared" si="10"/>
        <v>5.7401266958277199</v>
      </c>
      <c r="U40" s="10">
        <f t="shared" si="10"/>
        <v>5.9932769428683015</v>
      </c>
      <c r="V40" s="10">
        <f t="shared" si="10"/>
        <v>6.2538346316045468</v>
      </c>
      <c r="W40" s="10">
        <f t="shared" si="10"/>
        <v>6.521987297515226</v>
      </c>
      <c r="X40" s="10">
        <f t="shared" si="10"/>
        <v>6.7979268815626517</v>
      </c>
      <c r="Y40" s="10">
        <f t="shared" si="10"/>
        <v>6.9377130341469151</v>
      </c>
      <c r="Z40" s="10">
        <f t="shared" si="10"/>
        <v>7.0774991867311794</v>
      </c>
      <c r="AA40" s="10">
        <f t="shared" si="10"/>
        <v>7.2172853393154446</v>
      </c>
      <c r="AB40" s="10">
        <f t="shared" si="10"/>
        <v>7.357071491899708</v>
      </c>
      <c r="AC40" s="10">
        <f t="shared" si="10"/>
        <v>7.4968576444839723</v>
      </c>
      <c r="AD40" s="10">
        <f t="shared" si="10"/>
        <v>7.755712217422519</v>
      </c>
      <c r="AE40" s="10">
        <f t="shared" si="10"/>
        <v>8.0145667903610658</v>
      </c>
      <c r="AF40" s="10">
        <f t="shared" si="10"/>
        <v>8.2734213632996116</v>
      </c>
      <c r="AG40" s="10">
        <f t="shared" si="10"/>
        <v>8.5322759362381611</v>
      </c>
      <c r="AH40" s="10">
        <f t="shared" si="10"/>
        <v>8.7911305091767087</v>
      </c>
    </row>
    <row r="41" spans="2:36" x14ac:dyDescent="0.2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2:36" x14ac:dyDescent="0.2">
      <c r="C42" s="4" t="s">
        <v>137</v>
      </c>
      <c r="E42" s="4" t="s">
        <v>166</v>
      </c>
      <c r="F42" s="41" t="s">
        <v>165</v>
      </c>
      <c r="G42" s="46">
        <f>'Rooftop solar'!C9</f>
        <v>100000</v>
      </c>
      <c r="H42" s="41" t="s">
        <v>150</v>
      </c>
      <c r="I42" s="41" t="s">
        <v>156</v>
      </c>
      <c r="J42" s="46"/>
      <c r="K42" s="41"/>
      <c r="L42" s="41"/>
      <c r="M42" s="43">
        <f>'Rooftop solar'!B15</f>
        <v>3.15</v>
      </c>
      <c r="N42" s="42" t="s">
        <v>239</v>
      </c>
      <c r="T42" t="s">
        <v>137</v>
      </c>
    </row>
    <row r="43" spans="2:36" x14ac:dyDescent="0.2">
      <c r="B43" t="s">
        <v>94</v>
      </c>
      <c r="C43" s="9">
        <f t="shared" ref="C43:Q46" si="12">T43*$G$42</f>
        <v>294332.88658951136</v>
      </c>
      <c r="D43" s="9">
        <f t="shared" si="12"/>
        <v>294351.45755808055</v>
      </c>
      <c r="E43" s="9">
        <f t="shared" si="12"/>
        <v>313471.31494601863</v>
      </c>
      <c r="F43" s="9">
        <f t="shared" si="12"/>
        <v>286604.01753461832</v>
      </c>
      <c r="G43" s="9">
        <f t="shared" si="12"/>
        <v>293917.46020714071</v>
      </c>
      <c r="H43" s="9">
        <f t="shared" si="12"/>
        <v>291532.585301566</v>
      </c>
      <c r="I43" s="9">
        <f t="shared" si="12"/>
        <v>289147.71039599145</v>
      </c>
      <c r="J43" s="9">
        <f t="shared" si="12"/>
        <v>286762.83549041679</v>
      </c>
      <c r="K43" s="9">
        <f t="shared" si="12"/>
        <v>284377.96058484219</v>
      </c>
      <c r="L43" s="9">
        <f t="shared" si="12"/>
        <v>281993.08567926765</v>
      </c>
      <c r="M43" s="9">
        <f t="shared" si="12"/>
        <v>279639.46743621893</v>
      </c>
      <c r="N43" s="9">
        <f t="shared" si="12"/>
        <v>277285.8491931702</v>
      </c>
      <c r="O43" s="9">
        <f t="shared" si="12"/>
        <v>274932.23095012148</v>
      </c>
      <c r="P43" s="9">
        <f t="shared" si="12"/>
        <v>272578.61270707269</v>
      </c>
      <c r="Q43" s="9">
        <f t="shared" si="12"/>
        <v>270224.99446402391</v>
      </c>
      <c r="S43" t="s">
        <v>94</v>
      </c>
      <c r="T43" s="10">
        <f t="shared" ref="T43:AH46" si="13">C$9/C13</f>
        <v>2.9433288658951136</v>
      </c>
      <c r="U43" s="10">
        <f t="shared" si="13"/>
        <v>2.9435145755808056</v>
      </c>
      <c r="V43" s="10">
        <f t="shared" si="13"/>
        <v>3.1347131494601865</v>
      </c>
      <c r="W43" s="10">
        <f t="shared" si="13"/>
        <v>2.8660401753461833</v>
      </c>
      <c r="X43" s="10">
        <f t="shared" si="13"/>
        <v>2.9391746020714069</v>
      </c>
      <c r="Y43" s="10">
        <f t="shared" si="13"/>
        <v>2.9153258530156601</v>
      </c>
      <c r="Z43" s="10">
        <f t="shared" si="13"/>
        <v>2.8914771039599145</v>
      </c>
      <c r="AA43" s="10">
        <f t="shared" si="13"/>
        <v>2.8676283549041681</v>
      </c>
      <c r="AB43" s="10">
        <f t="shared" si="13"/>
        <v>2.8437796058484222</v>
      </c>
      <c r="AC43" s="10">
        <f t="shared" si="13"/>
        <v>2.8199308567926766</v>
      </c>
      <c r="AD43" s="10">
        <f t="shared" si="13"/>
        <v>2.7963946743621895</v>
      </c>
      <c r="AE43" s="10">
        <f t="shared" si="13"/>
        <v>2.7728584919317019</v>
      </c>
      <c r="AF43" s="10">
        <f t="shared" si="13"/>
        <v>2.7493223095012147</v>
      </c>
      <c r="AG43" s="10">
        <f t="shared" si="13"/>
        <v>2.7257861270707271</v>
      </c>
      <c r="AH43" s="10">
        <f t="shared" si="13"/>
        <v>2.702249944640239</v>
      </c>
      <c r="AJ43" s="87">
        <f>MIN($T$43:$AH$46)</f>
        <v>0.5477535019430807</v>
      </c>
    </row>
    <row r="44" spans="2:36" x14ac:dyDescent="0.2">
      <c r="B44" t="s">
        <v>97</v>
      </c>
      <c r="C44" s="9">
        <f t="shared" si="12"/>
        <v>1230200.2638903316</v>
      </c>
      <c r="D44" s="9">
        <f t="shared" si="12"/>
        <v>1261773.2454514746</v>
      </c>
      <c r="E44" s="9">
        <f t="shared" si="12"/>
        <v>1294093.7173228762</v>
      </c>
      <c r="F44" s="9">
        <f t="shared" si="12"/>
        <v>1327178.5368337359</v>
      </c>
      <c r="G44" s="9">
        <f t="shared" si="12"/>
        <v>1361044.929317795</v>
      </c>
      <c r="H44" s="9">
        <f t="shared" si="12"/>
        <v>1350001.2781682445</v>
      </c>
      <c r="I44" s="9">
        <f t="shared" si="12"/>
        <v>1338957.6270186938</v>
      </c>
      <c r="J44" s="9">
        <f t="shared" si="12"/>
        <v>1327913.9758691431</v>
      </c>
      <c r="K44" s="9">
        <f t="shared" si="12"/>
        <v>1316870.3247195925</v>
      </c>
      <c r="L44" s="9">
        <f t="shared" si="12"/>
        <v>1305826.6735700422</v>
      </c>
      <c r="M44" s="9">
        <f t="shared" si="12"/>
        <v>1294927.7627908264</v>
      </c>
      <c r="N44" s="9">
        <f t="shared" si="12"/>
        <v>1284028.8520116105</v>
      </c>
      <c r="O44" s="9">
        <f t="shared" si="12"/>
        <v>1273129.9412323949</v>
      </c>
      <c r="P44" s="9">
        <f t="shared" si="12"/>
        <v>1262231.0304531788</v>
      </c>
      <c r="Q44" s="9">
        <f t="shared" si="12"/>
        <v>1251332.1196739625</v>
      </c>
      <c r="S44" t="s">
        <v>97</v>
      </c>
      <c r="T44" s="10">
        <f t="shared" si="13"/>
        <v>12.302002638903316</v>
      </c>
      <c r="U44" s="10">
        <f t="shared" si="13"/>
        <v>12.617732454514746</v>
      </c>
      <c r="V44" s="10">
        <f t="shared" si="13"/>
        <v>12.940937173228763</v>
      </c>
      <c r="W44" s="10">
        <f t="shared" si="13"/>
        <v>13.271785368337358</v>
      </c>
      <c r="X44" s="10">
        <f t="shared" si="13"/>
        <v>13.61044929317795</v>
      </c>
      <c r="Y44" s="10">
        <f t="shared" si="13"/>
        <v>13.500012781682445</v>
      </c>
      <c r="Z44" s="10">
        <f t="shared" si="13"/>
        <v>13.389576270186938</v>
      </c>
      <c r="AA44" s="10">
        <f t="shared" si="13"/>
        <v>13.27913975869143</v>
      </c>
      <c r="AB44" s="10">
        <f t="shared" si="13"/>
        <v>13.168703247195925</v>
      </c>
      <c r="AC44" s="10">
        <f t="shared" si="13"/>
        <v>13.058266735700423</v>
      </c>
      <c r="AD44" s="10">
        <f t="shared" si="13"/>
        <v>12.949277627908264</v>
      </c>
      <c r="AE44" s="10">
        <f t="shared" si="13"/>
        <v>12.840288520116104</v>
      </c>
      <c r="AF44" s="10">
        <f t="shared" si="13"/>
        <v>12.731299412323949</v>
      </c>
      <c r="AG44" s="10">
        <f t="shared" si="13"/>
        <v>12.622310304531789</v>
      </c>
      <c r="AH44" s="10">
        <f t="shared" si="13"/>
        <v>12.513321196739625</v>
      </c>
      <c r="AJ44" s="87">
        <f>MAX($T$43:$AH$46)</f>
        <v>13.61044929317795</v>
      </c>
    </row>
    <row r="45" spans="2:36" x14ac:dyDescent="0.2">
      <c r="B45" t="s">
        <v>101</v>
      </c>
      <c r="C45" s="9">
        <f t="shared" si="12"/>
        <v>54775.35019430807</v>
      </c>
      <c r="D45" s="9">
        <f t="shared" si="12"/>
        <v>60736.383501473814</v>
      </c>
      <c r="E45" s="9">
        <f t="shared" si="12"/>
        <v>73211.601224865357</v>
      </c>
      <c r="F45" s="9">
        <f t="shared" si="12"/>
        <v>88937.415556740176</v>
      </c>
      <c r="G45" s="9">
        <f t="shared" si="12"/>
        <v>109057.37380638285</v>
      </c>
      <c r="H45" s="9">
        <f t="shared" si="12"/>
        <v>130845.42170898062</v>
      </c>
      <c r="I45" s="9">
        <f t="shared" si="12"/>
        <v>159269.37225761521</v>
      </c>
      <c r="J45" s="9">
        <f t="shared" si="12"/>
        <v>197527.79329726321</v>
      </c>
      <c r="K45" s="9">
        <f t="shared" si="12"/>
        <v>251222.57058071674</v>
      </c>
      <c r="L45" s="9">
        <f t="shared" si="12"/>
        <v>331132.3150256112</v>
      </c>
      <c r="M45" s="9">
        <f t="shared" si="12"/>
        <v>461029.46197526163</v>
      </c>
      <c r="N45" s="9">
        <f t="shared" si="12"/>
        <v>705315.83706704306</v>
      </c>
      <c r="O45" s="9">
        <f t="shared" si="12"/>
        <v>761741.1040324067</v>
      </c>
      <c r="P45" s="9">
        <f t="shared" si="12"/>
        <v>822680.3923549992</v>
      </c>
      <c r="Q45" s="9">
        <f t="shared" si="12"/>
        <v>888494.82374339923</v>
      </c>
      <c r="S45" t="s">
        <v>101</v>
      </c>
      <c r="T45" s="10">
        <f t="shared" si="13"/>
        <v>0.5477535019430807</v>
      </c>
      <c r="U45" s="10">
        <f t="shared" si="13"/>
        <v>0.60736383501473812</v>
      </c>
      <c r="V45" s="10">
        <f t="shared" si="13"/>
        <v>0.73211601224865352</v>
      </c>
      <c r="W45" s="10">
        <f t="shared" si="13"/>
        <v>0.88937415556740174</v>
      </c>
      <c r="X45" s="10">
        <f t="shared" si="13"/>
        <v>1.0905737380638285</v>
      </c>
      <c r="Y45" s="10">
        <f t="shared" si="13"/>
        <v>1.3084542170898061</v>
      </c>
      <c r="Z45" s="10">
        <f t="shared" si="13"/>
        <v>1.5926937225761522</v>
      </c>
      <c r="AA45" s="10">
        <f t="shared" si="13"/>
        <v>1.975277932972632</v>
      </c>
      <c r="AB45" s="10">
        <f t="shared" si="13"/>
        <v>2.5122257058071673</v>
      </c>
      <c r="AC45" s="10">
        <f t="shared" si="13"/>
        <v>3.3113231502561118</v>
      </c>
      <c r="AD45" s="10">
        <f t="shared" si="13"/>
        <v>4.610294619752616</v>
      </c>
      <c r="AE45" s="10">
        <f t="shared" si="13"/>
        <v>7.0531583706704311</v>
      </c>
      <c r="AF45" s="10">
        <f>AE45*(1+$E$2)</f>
        <v>7.6174110403240665</v>
      </c>
      <c r="AG45" s="10">
        <f t="shared" ref="AG45:AH45" si="14">AF45*(1+$E$2)</f>
        <v>8.2268039235499923</v>
      </c>
      <c r="AH45" s="10">
        <f t="shared" si="14"/>
        <v>8.8849482374339921</v>
      </c>
      <c r="AJ45" s="87">
        <f>AVERAGE($T$43:$AH$46)</f>
        <v>6.1878304972696432</v>
      </c>
    </row>
    <row r="46" spans="2:36" x14ac:dyDescent="0.2">
      <c r="B46" t="s">
        <v>100</v>
      </c>
      <c r="C46" s="9">
        <f t="shared" si="12"/>
        <v>521670.00185055309</v>
      </c>
      <c r="D46" s="9">
        <f t="shared" si="12"/>
        <v>535058.61656060268</v>
      </c>
      <c r="E46" s="9">
        <f t="shared" si="12"/>
        <v>548764.20671195362</v>
      </c>
      <c r="F46" s="9">
        <f t="shared" si="12"/>
        <v>562793.92070410901</v>
      </c>
      <c r="G46" s="9">
        <f t="shared" si="12"/>
        <v>577155.06298996834</v>
      </c>
      <c r="H46" s="9">
        <f t="shared" si="12"/>
        <v>572471.97058239218</v>
      </c>
      <c r="I46" s="9">
        <f t="shared" si="12"/>
        <v>567788.87817481603</v>
      </c>
      <c r="J46" s="9">
        <f t="shared" si="12"/>
        <v>563105.78576723998</v>
      </c>
      <c r="K46" s="9">
        <f t="shared" si="12"/>
        <v>558422.69335966383</v>
      </c>
      <c r="L46" s="9">
        <f t="shared" si="12"/>
        <v>553739.6009520879</v>
      </c>
      <c r="M46" s="9">
        <f t="shared" si="12"/>
        <v>549117.88611975452</v>
      </c>
      <c r="N46" s="9">
        <f t="shared" si="12"/>
        <v>544496.1712874209</v>
      </c>
      <c r="O46" s="9">
        <f t="shared" si="12"/>
        <v>539874.45645508741</v>
      </c>
      <c r="P46" s="9">
        <f t="shared" si="12"/>
        <v>535252.74162275391</v>
      </c>
      <c r="Q46" s="9">
        <f t="shared" si="12"/>
        <v>530631.02679042018</v>
      </c>
      <c r="S46" t="s">
        <v>100</v>
      </c>
      <c r="T46" s="10">
        <f t="shared" si="13"/>
        <v>5.2167000185055308</v>
      </c>
      <c r="U46" s="10">
        <f t="shared" si="13"/>
        <v>5.3505861656060265</v>
      </c>
      <c r="V46" s="10">
        <f t="shared" si="13"/>
        <v>5.4876420671195367</v>
      </c>
      <c r="W46" s="10">
        <f t="shared" si="13"/>
        <v>5.6279392070410896</v>
      </c>
      <c r="X46" s="10">
        <f t="shared" si="13"/>
        <v>5.771550629899683</v>
      </c>
      <c r="Y46" s="10">
        <f t="shared" si="13"/>
        <v>5.7247197058239214</v>
      </c>
      <c r="Z46" s="10">
        <f t="shared" si="13"/>
        <v>5.6778887817481607</v>
      </c>
      <c r="AA46" s="10">
        <f t="shared" si="13"/>
        <v>5.6310578576724</v>
      </c>
      <c r="AB46" s="10">
        <f t="shared" si="13"/>
        <v>5.5842269335966384</v>
      </c>
      <c r="AC46" s="10">
        <f t="shared" si="13"/>
        <v>5.5373960095208794</v>
      </c>
      <c r="AD46" s="10">
        <f t="shared" si="13"/>
        <v>5.4911788611975449</v>
      </c>
      <c r="AE46" s="10">
        <f t="shared" si="13"/>
        <v>5.4449617128742087</v>
      </c>
      <c r="AF46" s="10">
        <f t="shared" si="13"/>
        <v>5.3987445645508743</v>
      </c>
      <c r="AG46" s="10">
        <f t="shared" si="13"/>
        <v>5.3525274162275389</v>
      </c>
      <c r="AH46" s="10">
        <f t="shared" si="13"/>
        <v>5.3063102679042018</v>
      </c>
    </row>
    <row r="49" spans="2:20" x14ac:dyDescent="0.2">
      <c r="B49" s="39" t="s">
        <v>157</v>
      </c>
      <c r="H49" t="s">
        <v>163</v>
      </c>
    </row>
    <row r="51" spans="2:20" x14ac:dyDescent="0.2">
      <c r="C51">
        <v>2016</v>
      </c>
      <c r="D51">
        <v>2017</v>
      </c>
      <c r="E51">
        <v>2018</v>
      </c>
      <c r="F51">
        <v>2019</v>
      </c>
      <c r="G51">
        <v>2020</v>
      </c>
      <c r="H51">
        <v>2021</v>
      </c>
      <c r="I51">
        <v>2022</v>
      </c>
      <c r="J51">
        <v>2023</v>
      </c>
      <c r="K51">
        <v>2024</v>
      </c>
      <c r="L51">
        <v>2025</v>
      </c>
      <c r="M51">
        <v>2026</v>
      </c>
      <c r="N51">
        <v>2027</v>
      </c>
      <c r="O51">
        <v>2028</v>
      </c>
      <c r="P51">
        <v>2029</v>
      </c>
      <c r="Q51">
        <v>2030</v>
      </c>
    </row>
    <row r="52" spans="2:20" x14ac:dyDescent="0.2">
      <c r="B52" t="s">
        <v>94</v>
      </c>
      <c r="C52" s="10">
        <f t="shared" ref="C52:Q52" si="15">C6/C$18</f>
        <v>0.72201470006909052</v>
      </c>
      <c r="D52" s="10">
        <f t="shared" si="15"/>
        <v>0.79569992087102859</v>
      </c>
      <c r="E52" s="10">
        <f t="shared" si="15"/>
        <v>0.93776034533412411</v>
      </c>
      <c r="F52" s="10">
        <f t="shared" si="15"/>
        <v>1.0740540027701366</v>
      </c>
      <c r="G52" s="10">
        <f t="shared" si="15"/>
        <v>1.2530839536194853</v>
      </c>
      <c r="H52" s="10">
        <f t="shared" si="15"/>
        <v>1.4299229568638685</v>
      </c>
      <c r="I52" s="10">
        <f t="shared" si="15"/>
        <v>1.628725150513417</v>
      </c>
      <c r="J52" s="10">
        <f t="shared" si="15"/>
        <v>1.8510356844266276</v>
      </c>
      <c r="K52" s="10">
        <f t="shared" si="15"/>
        <v>2.0980725967756353</v>
      </c>
      <c r="L52" s="10">
        <f t="shared" si="15"/>
        <v>2.3705584146398944</v>
      </c>
      <c r="M52" s="10">
        <f t="shared" si="15"/>
        <v>2.7101376967645754</v>
      </c>
      <c r="N52" s="10">
        <f t="shared" si="15"/>
        <v>3.0827436964657875</v>
      </c>
      <c r="O52" s="10">
        <f t="shared" si="15"/>
        <v>3.4870544295707986</v>
      </c>
      <c r="P52" s="10">
        <f t="shared" si="15"/>
        <v>3.9203310115108501</v>
      </c>
      <c r="Q52" s="10">
        <f t="shared" si="15"/>
        <v>4.3782950516499612</v>
      </c>
      <c r="S52" t="s">
        <v>169</v>
      </c>
      <c r="T52" s="10"/>
    </row>
    <row r="53" spans="2:20" x14ac:dyDescent="0.2">
      <c r="B53" t="s">
        <v>97</v>
      </c>
      <c r="C53" s="10">
        <f t="shared" ref="C53:Q53" si="16">C7/C$18</f>
        <v>0.1640440315520143</v>
      </c>
      <c r="D53" s="10">
        <f t="shared" si="16"/>
        <v>0.17759320273245924</v>
      </c>
      <c r="E53" s="10">
        <f t="shared" si="16"/>
        <v>0.2057175086596329</v>
      </c>
      <c r="F53" s="10">
        <f t="shared" si="16"/>
        <v>0.23170509067736186</v>
      </c>
      <c r="G53" s="10">
        <f t="shared" si="16"/>
        <v>0.26597217092188102</v>
      </c>
      <c r="H53" s="10">
        <f t="shared" si="16"/>
        <v>0.29497862223034294</v>
      </c>
      <c r="I53" s="10">
        <f t="shared" si="16"/>
        <v>0.3266591777922328</v>
      </c>
      <c r="J53" s="10">
        <f t="shared" si="16"/>
        <v>0.36105296332274467</v>
      </c>
      <c r="K53" s="10">
        <f t="shared" si="16"/>
        <v>0.39812422362808453</v>
      </c>
      <c r="L53" s="10">
        <f t="shared" si="16"/>
        <v>0.43774076179842669</v>
      </c>
      <c r="M53" s="10">
        <f t="shared" si="16"/>
        <v>0.47970613188745825</v>
      </c>
      <c r="N53" s="10">
        <f t="shared" si="16"/>
        <v>0.52359103857141598</v>
      </c>
      <c r="O53" s="10">
        <f t="shared" si="16"/>
        <v>0.56886127640760897</v>
      </c>
      <c r="P53" s="10">
        <f t="shared" si="16"/>
        <v>0.61483241331534055</v>
      </c>
      <c r="Q53" s="10">
        <f t="shared" si="16"/>
        <v>0.66068271777539778</v>
      </c>
      <c r="S53" t="s">
        <v>167</v>
      </c>
      <c r="T53" s="10"/>
    </row>
    <row r="54" spans="2:20" x14ac:dyDescent="0.2">
      <c r="B54" t="s">
        <v>101</v>
      </c>
      <c r="C54" s="10">
        <f t="shared" ref="C54:Q54" si="17">C8/C$18</f>
        <v>0.45125918754318162</v>
      </c>
      <c r="D54" s="10">
        <f t="shared" si="17"/>
        <v>0.49731245054439288</v>
      </c>
      <c r="E54" s="10">
        <f t="shared" si="17"/>
        <v>0.58610021583382754</v>
      </c>
      <c r="F54" s="10">
        <f t="shared" si="17"/>
        <v>0.67128375173133537</v>
      </c>
      <c r="G54" s="10">
        <f t="shared" si="17"/>
        <v>0.78317747101217816</v>
      </c>
      <c r="H54" s="10">
        <f t="shared" si="17"/>
        <v>0.8937018480399177</v>
      </c>
      <c r="I54" s="10">
        <f t="shared" si="17"/>
        <v>1.0179532190708855</v>
      </c>
      <c r="J54" s="10">
        <f t="shared" si="17"/>
        <v>1.156897302766642</v>
      </c>
      <c r="K54" s="10">
        <f t="shared" si="17"/>
        <v>1.3112953729847716</v>
      </c>
      <c r="L54" s="10">
        <f t="shared" si="17"/>
        <v>1.4815990091499338</v>
      </c>
      <c r="M54" s="10">
        <f t="shared" si="17"/>
        <v>1.6938360604778595</v>
      </c>
      <c r="N54" s="10">
        <f t="shared" si="17"/>
        <v>1.9267148102911167</v>
      </c>
      <c r="O54" s="10">
        <f t="shared" si="17"/>
        <v>2.1794090184817478</v>
      </c>
      <c r="P54" s="10">
        <f t="shared" si="17"/>
        <v>2.4502068821942795</v>
      </c>
      <c r="Q54" s="10">
        <f t="shared" si="17"/>
        <v>2.7364344072812243</v>
      </c>
      <c r="S54" t="s">
        <v>168</v>
      </c>
      <c r="T54" s="10"/>
    </row>
    <row r="55" spans="2:20" x14ac:dyDescent="0.2">
      <c r="B55" t="s">
        <v>100</v>
      </c>
      <c r="C55" s="10">
        <f t="shared" ref="C55:Q55" si="18">C9/C$18</f>
        <v>0.41011007888003587</v>
      </c>
      <c r="D55" s="10">
        <f t="shared" si="18"/>
        <v>0.44398300683114811</v>
      </c>
      <c r="E55" s="10">
        <f t="shared" si="18"/>
        <v>0.51429377164908241</v>
      </c>
      <c r="F55" s="10">
        <f t="shared" si="18"/>
        <v>0.57926272669340473</v>
      </c>
      <c r="G55" s="10">
        <f t="shared" si="18"/>
        <v>0.66493042730470253</v>
      </c>
      <c r="H55" s="10">
        <f t="shared" si="18"/>
        <v>0.73744655557585737</v>
      </c>
      <c r="I55" s="10">
        <f t="shared" si="18"/>
        <v>0.81664794448058198</v>
      </c>
      <c r="J55" s="10">
        <f t="shared" si="18"/>
        <v>0.90263240830686176</v>
      </c>
      <c r="K55" s="10">
        <f t="shared" si="18"/>
        <v>0.99531055907021126</v>
      </c>
      <c r="L55" s="10">
        <f t="shared" si="18"/>
        <v>1.0943519044960668</v>
      </c>
      <c r="M55" s="10">
        <f t="shared" si="18"/>
        <v>1.1992653297186457</v>
      </c>
      <c r="N55" s="10">
        <f t="shared" si="18"/>
        <v>1.3089775964285397</v>
      </c>
      <c r="O55" s="10">
        <f t="shared" si="18"/>
        <v>1.4221531910190224</v>
      </c>
      <c r="P55" s="10">
        <f t="shared" si="18"/>
        <v>1.5370810332883507</v>
      </c>
      <c r="Q55" s="10">
        <f t="shared" si="18"/>
        <v>1.6517067944384942</v>
      </c>
      <c r="S55" t="s">
        <v>168</v>
      </c>
      <c r="T55" s="10"/>
    </row>
    <row r="57" spans="2:20" x14ac:dyDescent="0.2">
      <c r="G57" t="s">
        <v>217</v>
      </c>
      <c r="S57" t="s">
        <v>170</v>
      </c>
    </row>
  </sheetData>
  <conditionalFormatting sqref="B51:Q55">
    <cfRule type="colorScale" priority="3">
      <colorScale>
        <cfvo type="formula" val="&quot;&gt;1&quot;"/>
        <cfvo type="percentile" val="50"/>
        <cfvo type="max"/>
        <color rgb="FFFF7128"/>
        <color rgb="FFFFEB84"/>
        <color rgb="FFFFEF9C"/>
      </colorScale>
    </cfRule>
  </conditionalFormatting>
  <conditionalFormatting sqref="C52:Q55">
    <cfRule type="cellIs" dxfId="3" priority="1" operator="greaterThan">
      <formula>2</formula>
    </cfRule>
    <cfRule type="cellIs" dxfId="2" priority="2" operator="lessThan">
      <formula>1</formula>
    </cfRule>
  </conditionalFormatting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workbookViewId="0">
      <selection activeCell="B1" sqref="B1"/>
    </sheetView>
  </sheetViews>
  <sheetFormatPr baseColWidth="10" defaultRowHeight="16" x14ac:dyDescent="0.2"/>
  <cols>
    <col min="2" max="2" width="25.6640625" customWidth="1"/>
    <col min="3" max="3" width="22.1640625" style="13" customWidth="1"/>
    <col min="4" max="4" width="19.6640625" style="13" customWidth="1"/>
    <col min="5" max="5" width="19.6640625" style="76" customWidth="1"/>
    <col min="6" max="6" width="26" customWidth="1"/>
  </cols>
  <sheetData>
    <row r="1" spans="2:5" ht="21" x14ac:dyDescent="0.25">
      <c r="B1" s="89" t="s">
        <v>271</v>
      </c>
    </row>
    <row r="3" spans="2:5" ht="32" x14ac:dyDescent="0.2">
      <c r="B3" s="79"/>
      <c r="C3" s="79" t="s">
        <v>139</v>
      </c>
      <c r="D3" s="79" t="s">
        <v>233</v>
      </c>
      <c r="E3" s="79" t="s">
        <v>235</v>
      </c>
    </row>
    <row r="4" spans="2:5" ht="48" x14ac:dyDescent="0.2">
      <c r="B4" s="79" t="s">
        <v>2</v>
      </c>
      <c r="C4" s="79" t="s">
        <v>232</v>
      </c>
      <c r="D4" s="79" t="s">
        <v>234</v>
      </c>
      <c r="E4" s="79" t="s">
        <v>236</v>
      </c>
    </row>
    <row r="5" spans="2:5" ht="64" x14ac:dyDescent="0.2">
      <c r="B5" s="79" t="s">
        <v>129</v>
      </c>
      <c r="C5" s="79" t="s">
        <v>237</v>
      </c>
      <c r="D5" s="80" t="s">
        <v>238</v>
      </c>
      <c r="E5" s="79" t="s">
        <v>242</v>
      </c>
    </row>
    <row r="6" spans="2:5" ht="144" x14ac:dyDescent="0.2">
      <c r="B6" s="79" t="s">
        <v>128</v>
      </c>
      <c r="C6" s="79" t="s">
        <v>240</v>
      </c>
      <c r="D6" s="79" t="s">
        <v>241</v>
      </c>
      <c r="E6" s="79" t="s">
        <v>243</v>
      </c>
    </row>
    <row r="7" spans="2:5" ht="80" x14ac:dyDescent="0.2">
      <c r="B7" s="79" t="s">
        <v>137</v>
      </c>
      <c r="C7" s="79" t="s">
        <v>244</v>
      </c>
      <c r="D7" s="79" t="s">
        <v>245</v>
      </c>
      <c r="E7" s="79" t="s">
        <v>246</v>
      </c>
    </row>
  </sheetData>
  <pageMargins left="0.75" right="0.75" top="1" bottom="1" header="0.5" footer="0.5"/>
  <pageSetup paperSize="9"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H3" sqref="H3"/>
    </sheetView>
  </sheetViews>
  <sheetFormatPr baseColWidth="10" defaultRowHeight="16" x14ac:dyDescent="0.2"/>
  <cols>
    <col min="1" max="1" width="23.83203125" customWidth="1"/>
    <col min="2" max="2" width="18.83203125" customWidth="1"/>
    <col min="3" max="6" width="13" bestFit="1" customWidth="1"/>
    <col min="12" max="12" width="13.1640625" customWidth="1"/>
  </cols>
  <sheetData>
    <row r="1" spans="1:21" ht="21" x14ac:dyDescent="0.25">
      <c r="A1" s="89" t="s">
        <v>270</v>
      </c>
      <c r="J1" t="s">
        <v>251</v>
      </c>
      <c r="O1" t="s">
        <v>254</v>
      </c>
    </row>
    <row r="2" spans="1:21" ht="21" x14ac:dyDescent="0.25">
      <c r="A2" s="89"/>
      <c r="H2" s="17" t="s">
        <v>274</v>
      </c>
    </row>
    <row r="3" spans="1:21" x14ac:dyDescent="0.2">
      <c r="A3" s="3"/>
      <c r="C3">
        <v>2016</v>
      </c>
      <c r="D3">
        <v>2020</v>
      </c>
      <c r="E3">
        <v>2025</v>
      </c>
      <c r="F3">
        <v>2030</v>
      </c>
      <c r="H3" s="90"/>
      <c r="I3" s="90">
        <v>2016</v>
      </c>
      <c r="J3" s="90">
        <v>2020</v>
      </c>
      <c r="K3" s="90">
        <v>2025</v>
      </c>
      <c r="L3" s="90">
        <v>2030</v>
      </c>
      <c r="O3">
        <v>2016</v>
      </c>
      <c r="P3">
        <v>2020</v>
      </c>
      <c r="Q3">
        <v>2025</v>
      </c>
      <c r="R3">
        <v>2030</v>
      </c>
    </row>
    <row r="4" spans="1:21" x14ac:dyDescent="0.2">
      <c r="B4" s="4" t="s">
        <v>2</v>
      </c>
      <c r="D4" t="s">
        <v>232</v>
      </c>
      <c r="H4" s="91" t="s">
        <v>2</v>
      </c>
      <c r="I4" s="90"/>
      <c r="J4" s="90" t="s">
        <v>232</v>
      </c>
      <c r="K4" s="90"/>
      <c r="L4" s="90"/>
      <c r="N4" s="4" t="s">
        <v>2</v>
      </c>
      <c r="P4" t="s">
        <v>232</v>
      </c>
    </row>
    <row r="5" spans="1:21" x14ac:dyDescent="0.2">
      <c r="B5" t="str">
        <f>'Match rev and exp Fig 6'!B24</f>
        <v>WEM-Hi</v>
      </c>
      <c r="C5" s="9">
        <f>'Match rev and exp Fig 6'!C24</f>
        <v>1805802.7770643693</v>
      </c>
      <c r="D5" s="9">
        <f>'Match rev and exp Fig 6'!G24</f>
        <v>1930257.6298056319</v>
      </c>
      <c r="E5" s="9">
        <f>'Match rev and exp Fig 6'!L24</f>
        <v>2128717.6105232574</v>
      </c>
      <c r="F5" s="9">
        <f>'Match rev and exp Fig 6'!Q24</f>
        <v>2496223.7805144936</v>
      </c>
      <c r="H5" s="90" t="s">
        <v>94</v>
      </c>
      <c r="I5" s="92">
        <f t="shared" ref="I5:L8" si="0">ROUND(C5,-5)</f>
        <v>1800000</v>
      </c>
      <c r="J5" s="92">
        <f t="shared" si="0"/>
        <v>1900000</v>
      </c>
      <c r="K5" s="92">
        <f t="shared" si="0"/>
        <v>2100000</v>
      </c>
      <c r="L5" s="92">
        <f t="shared" si="0"/>
        <v>2500000</v>
      </c>
      <c r="N5" t="s">
        <v>94</v>
      </c>
      <c r="O5" s="82">
        <f>C5/10^6</f>
        <v>1.8058027770643692</v>
      </c>
      <c r="P5" s="82">
        <f t="shared" ref="P5:R5" si="1">D5/10^6</f>
        <v>1.930257629805632</v>
      </c>
      <c r="Q5" s="82">
        <f t="shared" si="1"/>
        <v>2.1287176105232573</v>
      </c>
      <c r="R5" s="82">
        <f t="shared" si="1"/>
        <v>2.4962237805144936</v>
      </c>
      <c r="T5" s="85">
        <f>MIN($O$5:$R$8)</f>
        <v>0.33605989681167919</v>
      </c>
      <c r="U5" t="s">
        <v>255</v>
      </c>
    </row>
    <row r="6" spans="1:21" x14ac:dyDescent="0.2">
      <c r="B6" t="str">
        <f>'Match rev and exp Fig 6'!B25</f>
        <v>WAM-Lo</v>
      </c>
      <c r="C6" s="9">
        <f>'Match rev and exp Fig 6'!C25</f>
        <v>7547573.3568864623</v>
      </c>
      <c r="D6" s="9">
        <f>'Match rev and exp Fig 6'!G25</f>
        <v>8938452.8481990285</v>
      </c>
      <c r="E6" s="9">
        <f>'Match rev and exp Fig 6'!L25</f>
        <v>9857462.3899862599</v>
      </c>
      <c r="F6" s="9">
        <f>'Match rev and exp Fig 6'!Q25</f>
        <v>11559274.894786282</v>
      </c>
      <c r="H6" s="90" t="s">
        <v>97</v>
      </c>
      <c r="I6" s="92">
        <f t="shared" si="0"/>
        <v>7500000</v>
      </c>
      <c r="J6" s="92">
        <f t="shared" si="0"/>
        <v>8900000</v>
      </c>
      <c r="K6" s="92">
        <f t="shared" si="0"/>
        <v>9900000</v>
      </c>
      <c r="L6" s="92">
        <f t="shared" si="0"/>
        <v>11600000</v>
      </c>
      <c r="N6" t="s">
        <v>97</v>
      </c>
      <c r="O6" s="82">
        <f t="shared" ref="O6:O23" si="2">C6/10^6</f>
        <v>7.5475733568864625</v>
      </c>
      <c r="P6" s="82">
        <f t="shared" ref="P6:P23" si="3">D6/10^6</f>
        <v>8.9384528481990291</v>
      </c>
      <c r="Q6" s="82">
        <f t="shared" ref="Q6:Q23" si="4">E6/10^6</f>
        <v>9.8574623899862601</v>
      </c>
      <c r="R6" s="82">
        <f t="shared" ref="R6:R23" si="5">F6/10^6</f>
        <v>11.559274894786281</v>
      </c>
      <c r="T6" s="85">
        <f>MAX($O$5:$R$8)</f>
        <v>11.559274894786281</v>
      </c>
      <c r="U6" t="s">
        <v>256</v>
      </c>
    </row>
    <row r="7" spans="1:21" x14ac:dyDescent="0.2">
      <c r="B7" t="str">
        <f>'Match rev and exp Fig 6'!B26</f>
        <v>WEM-Med</v>
      </c>
      <c r="C7" s="9">
        <f>'Match rev and exp Fig 6'!C26</f>
        <v>336059.89681167918</v>
      </c>
      <c r="D7" s="9">
        <f>'Match rev and exp Fig 6'!G26</f>
        <v>716217.49768788018</v>
      </c>
      <c r="E7" s="9">
        <f>'Match rev and exp Fig 6'!L26</f>
        <v>2499661.2548510348</v>
      </c>
      <c r="F7" s="9">
        <f>'Match rev and exp Fig 6'!Q26</f>
        <v>7279981.6640323522</v>
      </c>
      <c r="H7" s="90" t="s">
        <v>101</v>
      </c>
      <c r="I7" s="92">
        <f t="shared" si="0"/>
        <v>300000</v>
      </c>
      <c r="J7" s="92">
        <f t="shared" si="0"/>
        <v>700000</v>
      </c>
      <c r="K7" s="92">
        <f t="shared" si="0"/>
        <v>2500000</v>
      </c>
      <c r="L7" s="92">
        <f t="shared" si="0"/>
        <v>7300000</v>
      </c>
      <c r="N7" t="s">
        <v>101</v>
      </c>
      <c r="O7" s="82">
        <f>C7/10^6</f>
        <v>0.33605989681167919</v>
      </c>
      <c r="P7" s="82">
        <f t="shared" si="3"/>
        <v>0.71621749768788023</v>
      </c>
      <c r="Q7" s="82">
        <f t="shared" si="4"/>
        <v>2.4996612548510346</v>
      </c>
      <c r="R7" s="82">
        <f t="shared" si="5"/>
        <v>7.279981664032352</v>
      </c>
      <c r="T7" s="85">
        <f>AVERAGE($O$5:$R$8)</f>
        <v>4.5730289223793887</v>
      </c>
      <c r="U7" t="s">
        <v>173</v>
      </c>
    </row>
    <row r="8" spans="1:21" x14ac:dyDescent="0.2">
      <c r="B8" t="str">
        <f>'Match rev and exp Fig 6'!B27</f>
        <v>WAM-Med</v>
      </c>
      <c r="C8" s="9">
        <f>'Match rev and exp Fig 6'!C27</f>
        <v>3200570.4458255162</v>
      </c>
      <c r="D8" s="9">
        <f>'Match rev and exp Fig 6'!G27</f>
        <v>3790376.9416495198</v>
      </c>
      <c r="E8" s="9">
        <f>'Match rev and exp Fig 6'!L27</f>
        <v>4180085.6122107878</v>
      </c>
      <c r="F8" s="9">
        <f>'Match rev and exp Fig 6'!Q27</f>
        <v>4901744.1572356699</v>
      </c>
      <c r="H8" s="90" t="s">
        <v>100</v>
      </c>
      <c r="I8" s="92">
        <f t="shared" si="0"/>
        <v>3200000</v>
      </c>
      <c r="J8" s="92">
        <f t="shared" si="0"/>
        <v>3800000</v>
      </c>
      <c r="K8" s="92">
        <f t="shared" si="0"/>
        <v>4200000</v>
      </c>
      <c r="L8" s="92">
        <f t="shared" si="0"/>
        <v>4900000</v>
      </c>
      <c r="N8" t="s">
        <v>100</v>
      </c>
      <c r="O8" s="82">
        <f t="shared" si="2"/>
        <v>3.2005704458255164</v>
      </c>
      <c r="P8" s="82">
        <f t="shared" si="3"/>
        <v>3.7903769416495199</v>
      </c>
      <c r="Q8" s="82">
        <f t="shared" si="4"/>
        <v>4.1800856122107879</v>
      </c>
      <c r="R8" s="82">
        <f t="shared" si="5"/>
        <v>4.9017441572356697</v>
      </c>
    </row>
    <row r="9" spans="1:21" x14ac:dyDescent="0.2">
      <c r="B9" s="4" t="s">
        <v>247</v>
      </c>
      <c r="D9" t="s">
        <v>250</v>
      </c>
      <c r="E9" s="9"/>
      <c r="F9" s="9"/>
      <c r="H9" s="91" t="s">
        <v>247</v>
      </c>
      <c r="I9" s="92"/>
      <c r="J9" s="90" t="s">
        <v>250</v>
      </c>
      <c r="K9" s="92"/>
      <c r="L9" s="92"/>
      <c r="N9" s="4" t="s">
        <v>247</v>
      </c>
      <c r="O9" s="82">
        <f t="shared" si="2"/>
        <v>0</v>
      </c>
      <c r="P9" t="s">
        <v>250</v>
      </c>
      <c r="Q9" s="82">
        <f t="shared" si="4"/>
        <v>0</v>
      </c>
      <c r="R9" s="82">
        <f t="shared" si="5"/>
        <v>0</v>
      </c>
    </row>
    <row r="10" spans="1:21" x14ac:dyDescent="0.2">
      <c r="B10" t="str">
        <f>'Match rev and exp Fig 6'!B31</f>
        <v>WEM-Hi</v>
      </c>
      <c r="C10" s="9">
        <f>'Match rev and exp Fig 6'!C31</f>
        <v>1177331.5463580452</v>
      </c>
      <c r="D10" s="9">
        <f>'Match rev and exp Fig 6'!G31</f>
        <v>1175669.8408285629</v>
      </c>
      <c r="E10" s="9">
        <f>'Match rev and exp Fig 6'!L31</f>
        <v>1127972.3427170706</v>
      </c>
      <c r="F10" s="9">
        <f>'Match rev and exp Fig 6'!Q31</f>
        <v>1080899.9778560959</v>
      </c>
      <c r="H10" s="90" t="s">
        <v>94</v>
      </c>
      <c r="I10" s="92">
        <f t="shared" ref="I10:L13" si="6">ROUND(C10,-5)</f>
        <v>1200000</v>
      </c>
      <c r="J10" s="92">
        <f t="shared" si="6"/>
        <v>1200000</v>
      </c>
      <c r="K10" s="92">
        <f t="shared" si="6"/>
        <v>1100000</v>
      </c>
      <c r="L10" s="92">
        <f t="shared" si="6"/>
        <v>1100000</v>
      </c>
      <c r="N10" t="s">
        <v>94</v>
      </c>
      <c r="O10" s="82">
        <f t="shared" si="2"/>
        <v>1.1773315463580452</v>
      </c>
      <c r="P10" s="82">
        <f t="shared" si="3"/>
        <v>1.1756698408285629</v>
      </c>
      <c r="Q10" s="82">
        <f t="shared" si="4"/>
        <v>1.1279723427170707</v>
      </c>
      <c r="R10" s="82">
        <f t="shared" si="5"/>
        <v>1.0808999778560959</v>
      </c>
      <c r="T10" s="85">
        <f>MIN($O$10:$R$13)</f>
        <v>0.2191014007772322</v>
      </c>
      <c r="U10" t="s">
        <v>255</v>
      </c>
    </row>
    <row r="11" spans="1:21" x14ac:dyDescent="0.2">
      <c r="B11" t="str">
        <f>'Match rev and exp Fig 6'!B32</f>
        <v>WAM-Lo</v>
      </c>
      <c r="C11" s="9">
        <f>'Match rev and exp Fig 6'!C32</f>
        <v>4920801.0555613246</v>
      </c>
      <c r="D11" s="9">
        <f>'Match rev and exp Fig 6'!G32</f>
        <v>5444179.7172711799</v>
      </c>
      <c r="E11" s="9">
        <f>'Match rev and exp Fig 6'!L32</f>
        <v>5223306.694280168</v>
      </c>
      <c r="F11" s="9">
        <f>'Match rev and exp Fig 6'!Q32</f>
        <v>5005328.4786958518</v>
      </c>
      <c r="H11" s="90" t="s">
        <v>97</v>
      </c>
      <c r="I11" s="92">
        <f t="shared" si="6"/>
        <v>4900000</v>
      </c>
      <c r="J11" s="92">
        <f t="shared" si="6"/>
        <v>5400000</v>
      </c>
      <c r="K11" s="92">
        <f t="shared" si="6"/>
        <v>5200000</v>
      </c>
      <c r="L11" s="92">
        <f t="shared" si="6"/>
        <v>5000000</v>
      </c>
      <c r="N11" t="s">
        <v>97</v>
      </c>
      <c r="O11" s="82">
        <f t="shared" si="2"/>
        <v>4.9208010555613244</v>
      </c>
      <c r="P11" s="82">
        <f t="shared" si="3"/>
        <v>5.4441797172711803</v>
      </c>
      <c r="Q11" s="82">
        <f t="shared" si="4"/>
        <v>5.2233066942801685</v>
      </c>
      <c r="R11" s="82">
        <f t="shared" si="5"/>
        <v>5.0053284786958514</v>
      </c>
      <c r="T11" s="85">
        <f>MAX($O$10:$R$13)</f>
        <v>5.4441797172711803</v>
      </c>
      <c r="U11" t="s">
        <v>256</v>
      </c>
    </row>
    <row r="12" spans="1:21" x14ac:dyDescent="0.2">
      <c r="B12" t="str">
        <f>'Match rev and exp Fig 6'!B33</f>
        <v>WEM-Med</v>
      </c>
      <c r="C12" s="9">
        <f>'Match rev and exp Fig 6'!C33</f>
        <v>219101.40077723219</v>
      </c>
      <c r="D12" s="9">
        <f>'Match rev and exp Fig 6'!G33</f>
        <v>436229.4952255314</v>
      </c>
      <c r="E12" s="9">
        <f>'Match rev and exp Fig 6'!L33</f>
        <v>1324529.2601024448</v>
      </c>
      <c r="F12" s="9">
        <f>'Match rev and exp Fig 6'!Q33</f>
        <v>3553979.2949735974</v>
      </c>
      <c r="H12" s="90" t="s">
        <v>101</v>
      </c>
      <c r="I12" s="92">
        <f t="shared" si="6"/>
        <v>200000</v>
      </c>
      <c r="J12" s="92">
        <f t="shared" si="6"/>
        <v>400000</v>
      </c>
      <c r="K12" s="92">
        <f t="shared" si="6"/>
        <v>1300000</v>
      </c>
      <c r="L12" s="92">
        <f t="shared" si="6"/>
        <v>3600000</v>
      </c>
      <c r="N12" t="s">
        <v>101</v>
      </c>
      <c r="O12" s="82">
        <f t="shared" si="2"/>
        <v>0.2191014007772322</v>
      </c>
      <c r="P12" s="82">
        <f t="shared" si="3"/>
        <v>0.43622949522553139</v>
      </c>
      <c r="Q12" s="82">
        <f t="shared" si="4"/>
        <v>1.3245292601024448</v>
      </c>
      <c r="R12" s="82">
        <f t="shared" si="5"/>
        <v>3.5539792949735975</v>
      </c>
      <c r="T12" s="85">
        <f>AVERAGE($O$10:$R$13)</f>
        <v>2.4638819921862019</v>
      </c>
      <c r="U12" t="s">
        <v>173</v>
      </c>
    </row>
    <row r="13" spans="1:21" x14ac:dyDescent="0.2">
      <c r="B13" t="str">
        <f>'Match rev and exp Fig 6'!B34</f>
        <v>WAM-Med</v>
      </c>
      <c r="C13" s="9">
        <f>'Match rev and exp Fig 6'!C34</f>
        <v>2086680.0074022117</v>
      </c>
      <c r="D13" s="9">
        <f>'Match rev and exp Fig 6'!G34</f>
        <v>2308620.2519598734</v>
      </c>
      <c r="E13" s="9">
        <f>'Match rev and exp Fig 6'!L34</f>
        <v>2214958.4038083516</v>
      </c>
      <c r="F13" s="9">
        <f>'Match rev and exp Fig 6'!Q34</f>
        <v>2122524.1071616812</v>
      </c>
      <c r="H13" s="90" t="s">
        <v>100</v>
      </c>
      <c r="I13" s="92">
        <f t="shared" si="6"/>
        <v>2100000</v>
      </c>
      <c r="J13" s="92">
        <f t="shared" si="6"/>
        <v>2300000</v>
      </c>
      <c r="K13" s="92">
        <f t="shared" si="6"/>
        <v>2200000</v>
      </c>
      <c r="L13" s="92">
        <f t="shared" si="6"/>
        <v>2100000</v>
      </c>
      <c r="N13" t="s">
        <v>100</v>
      </c>
      <c r="O13" s="82">
        <f t="shared" si="2"/>
        <v>2.0866800074022116</v>
      </c>
      <c r="P13" s="82">
        <f t="shared" si="3"/>
        <v>2.3086202519598733</v>
      </c>
      <c r="Q13" s="82">
        <f t="shared" si="4"/>
        <v>2.2149584038083514</v>
      </c>
      <c r="R13" s="82">
        <f t="shared" si="5"/>
        <v>2.1225241071616812</v>
      </c>
    </row>
    <row r="14" spans="1:21" x14ac:dyDescent="0.2">
      <c r="B14" s="81" t="str">
        <f>'Match rev and exp Fig 6'!C36</f>
        <v>Sustainable housing</v>
      </c>
      <c r="D14" t="s">
        <v>248</v>
      </c>
      <c r="E14" s="9"/>
      <c r="F14" s="9">
        <f>'Match rev and exp Fig 6'!Q36</f>
        <v>0</v>
      </c>
      <c r="H14" s="93" t="s">
        <v>128</v>
      </c>
      <c r="I14" s="92"/>
      <c r="J14" s="90" t="s">
        <v>248</v>
      </c>
      <c r="K14" s="92"/>
      <c r="L14" s="92"/>
      <c r="N14" s="81" t="s">
        <v>128</v>
      </c>
      <c r="O14" s="82">
        <f t="shared" si="2"/>
        <v>0</v>
      </c>
      <c r="P14" t="s">
        <v>248</v>
      </c>
      <c r="Q14" s="82">
        <f t="shared" si="4"/>
        <v>0</v>
      </c>
      <c r="R14" s="82">
        <f t="shared" si="5"/>
        <v>0</v>
      </c>
    </row>
    <row r="15" spans="1:21" x14ac:dyDescent="0.2">
      <c r="B15" t="str">
        <f>'Match rev and exp Fig 6'!B37</f>
        <v>WEM-Hi</v>
      </c>
      <c r="C15" s="9">
        <f>'Match rev and exp Fig 6'!C37</f>
        <v>809663.22281288356</v>
      </c>
      <c r="D15" s="9">
        <f>'Match rev and exp Fig 6'!G37</f>
        <v>865464.73028924584</v>
      </c>
      <c r="E15" s="9">
        <f>'Match rev and exp Fig 6'!L37</f>
        <v>954447.72977739398</v>
      </c>
      <c r="F15" s="9">
        <f>'Match rev and exp Fig 6'!Q37</f>
        <v>1119225.5414952659</v>
      </c>
      <c r="H15" s="90" t="s">
        <v>94</v>
      </c>
      <c r="I15" s="92">
        <f t="shared" ref="I15:L18" si="7">ROUND(C15,-5)</f>
        <v>800000</v>
      </c>
      <c r="J15" s="92">
        <f t="shared" si="7"/>
        <v>900000</v>
      </c>
      <c r="K15" s="92">
        <f t="shared" si="7"/>
        <v>1000000</v>
      </c>
      <c r="L15" s="92">
        <f t="shared" si="7"/>
        <v>1100000</v>
      </c>
      <c r="N15" t="s">
        <v>94</v>
      </c>
      <c r="O15" s="82">
        <f t="shared" si="2"/>
        <v>0.80966322281288361</v>
      </c>
      <c r="P15" s="82">
        <f t="shared" si="3"/>
        <v>0.86546473028924586</v>
      </c>
      <c r="Q15" s="82">
        <f t="shared" si="4"/>
        <v>0.954447729777394</v>
      </c>
      <c r="R15" s="82">
        <f t="shared" si="5"/>
        <v>1.1192255414952659</v>
      </c>
      <c r="T15" s="85">
        <f>MIN($O$15:$R$18)</f>
        <v>0.15067832576547766</v>
      </c>
      <c r="U15" t="s">
        <v>255</v>
      </c>
    </row>
    <row r="16" spans="1:21" x14ac:dyDescent="0.2">
      <c r="B16" t="str">
        <f>'Match rev and exp Fig 6'!B38</f>
        <v>WAM-Lo</v>
      </c>
      <c r="C16" s="9">
        <f>'Match rev and exp Fig 6'!C38</f>
        <v>3384086.3720941748</v>
      </c>
      <c r="D16" s="9">
        <f>'Match rev and exp Fig 6'!G38</f>
        <v>4007711.4909519535</v>
      </c>
      <c r="E16" s="9">
        <f>'Match rev and exp Fig 6'!L38</f>
        <v>4419765.4742827797</v>
      </c>
      <c r="F16" s="9">
        <f>'Match rev and exp Fig 6'!Q38</f>
        <v>5182802.8417962147</v>
      </c>
      <c r="H16" s="90" t="s">
        <v>97</v>
      </c>
      <c r="I16" s="92">
        <f t="shared" si="7"/>
        <v>3400000</v>
      </c>
      <c r="J16" s="92">
        <f t="shared" si="7"/>
        <v>4000000</v>
      </c>
      <c r="K16" s="92">
        <f t="shared" si="7"/>
        <v>4400000</v>
      </c>
      <c r="L16" s="92">
        <f t="shared" si="7"/>
        <v>5200000</v>
      </c>
      <c r="N16" t="s">
        <v>97</v>
      </c>
      <c r="O16" s="82">
        <f t="shared" si="2"/>
        <v>3.384086372094175</v>
      </c>
      <c r="P16" s="82">
        <f t="shared" si="3"/>
        <v>4.0077114909519533</v>
      </c>
      <c r="Q16" s="82">
        <f t="shared" si="4"/>
        <v>4.4197654742827801</v>
      </c>
      <c r="R16" s="82">
        <f t="shared" si="5"/>
        <v>5.1828028417962146</v>
      </c>
      <c r="T16" s="85">
        <f>MAX($O$15:$R$18)</f>
        <v>5.1828028417962146</v>
      </c>
      <c r="U16" t="s">
        <v>256</v>
      </c>
    </row>
    <row r="17" spans="2:21" x14ac:dyDescent="0.2">
      <c r="B17" t="str">
        <f>'Match rev and exp Fig 6'!B39</f>
        <v>WEM-Med</v>
      </c>
      <c r="C17" s="9">
        <f>'Match rev and exp Fig 6'!C39</f>
        <v>150678.32576547767</v>
      </c>
      <c r="D17" s="9">
        <f>'Match rev and exp Fig 6'!G39</f>
        <v>321128.62754351442</v>
      </c>
      <c r="E17" s="9">
        <f>'Match rev and exp Fig 6'!L39</f>
        <v>1120766.7931673815</v>
      </c>
      <c r="F17" s="9">
        <f>'Match rev and exp Fig 6'!Q39</f>
        <v>3269490.8996994011</v>
      </c>
      <c r="H17" s="90" t="s">
        <v>101</v>
      </c>
      <c r="I17" s="92">
        <f t="shared" si="7"/>
        <v>200000</v>
      </c>
      <c r="J17" s="92">
        <f t="shared" si="7"/>
        <v>300000</v>
      </c>
      <c r="K17" s="92">
        <f t="shared" si="7"/>
        <v>1100000</v>
      </c>
      <c r="L17" s="92">
        <f t="shared" si="7"/>
        <v>3300000</v>
      </c>
      <c r="N17" t="s">
        <v>101</v>
      </c>
      <c r="O17" s="82">
        <f t="shared" si="2"/>
        <v>0.15067832576547766</v>
      </c>
      <c r="P17" s="82">
        <f t="shared" si="3"/>
        <v>0.3211286275435144</v>
      </c>
      <c r="Q17" s="82">
        <f t="shared" si="4"/>
        <v>1.1207667931673815</v>
      </c>
      <c r="R17" s="82">
        <f t="shared" si="5"/>
        <v>3.269490899699401</v>
      </c>
      <c r="T17" s="85">
        <f>AVERAGE($O$15:$R$18)</f>
        <v>2.0507339051524029</v>
      </c>
      <c r="U17" t="s">
        <v>173</v>
      </c>
    </row>
    <row r="18" spans="2:21" x14ac:dyDescent="0.2">
      <c r="B18" t="str">
        <f>'Match rev and exp Fig 6'!B40</f>
        <v>WAM-Med</v>
      </c>
      <c r="C18" s="9">
        <f>'Match rev and exp Fig 6'!C40</f>
        <v>1435031.6739569299</v>
      </c>
      <c r="D18" s="9">
        <f>'Match rev and exp Fig 6'!G40</f>
        <v>1699481.720390663</v>
      </c>
      <c r="E18" s="9">
        <f>'Match rev and exp Fig 6'!L40</f>
        <v>1874214.4111209931</v>
      </c>
      <c r="F18" s="9">
        <f>'Match rev and exp Fig 6'!Q40</f>
        <v>2197782.6272941772</v>
      </c>
      <c r="H18" s="90" t="s">
        <v>100</v>
      </c>
      <c r="I18" s="92">
        <f t="shared" si="7"/>
        <v>1400000</v>
      </c>
      <c r="J18" s="92">
        <f t="shared" si="7"/>
        <v>1700000</v>
      </c>
      <c r="K18" s="92">
        <f t="shared" si="7"/>
        <v>1900000</v>
      </c>
      <c r="L18" s="92">
        <f t="shared" si="7"/>
        <v>2200000</v>
      </c>
      <c r="N18" t="s">
        <v>100</v>
      </c>
      <c r="O18" s="82">
        <f t="shared" si="2"/>
        <v>1.43503167395693</v>
      </c>
      <c r="P18" s="82">
        <f t="shared" si="3"/>
        <v>1.6994817203906629</v>
      </c>
      <c r="Q18" s="82">
        <f t="shared" si="4"/>
        <v>1.8742144111209931</v>
      </c>
      <c r="R18" s="82">
        <f t="shared" si="5"/>
        <v>2.1977826272941772</v>
      </c>
    </row>
    <row r="19" spans="2:21" x14ac:dyDescent="0.2">
      <c r="B19" s="81" t="s">
        <v>249</v>
      </c>
      <c r="D19" t="s">
        <v>244</v>
      </c>
      <c r="E19" s="9"/>
      <c r="F19" s="9">
        <f>'Match rev and exp Fig 6'!Q42</f>
        <v>0</v>
      </c>
      <c r="H19" s="93" t="s">
        <v>249</v>
      </c>
      <c r="I19" s="92"/>
      <c r="J19" s="90" t="s">
        <v>244</v>
      </c>
      <c r="K19" s="92"/>
      <c r="L19" s="92"/>
      <c r="N19" s="81" t="s">
        <v>249</v>
      </c>
      <c r="O19" s="82"/>
      <c r="P19" t="s">
        <v>244</v>
      </c>
      <c r="Q19" s="82">
        <f t="shared" si="4"/>
        <v>0</v>
      </c>
      <c r="R19" s="82">
        <f t="shared" si="5"/>
        <v>0</v>
      </c>
    </row>
    <row r="20" spans="2:21" x14ac:dyDescent="0.2">
      <c r="B20" t="str">
        <f>'Match rev and exp Fig 6'!B43</f>
        <v>WEM-Hi</v>
      </c>
      <c r="C20" s="9">
        <f>'Match rev and exp Fig 6'!C43</f>
        <v>294332.88658951136</v>
      </c>
      <c r="D20" s="9">
        <f>'Match rev and exp Fig 6'!G43</f>
        <v>293917.46020714071</v>
      </c>
      <c r="E20" s="9">
        <f>'Match rev and exp Fig 6'!L43</f>
        <v>281993.08567926765</v>
      </c>
      <c r="F20" s="9">
        <f>'Match rev and exp Fig 6'!Q43</f>
        <v>270224.99446402391</v>
      </c>
      <c r="H20" s="90" t="s">
        <v>94</v>
      </c>
      <c r="I20" s="92">
        <f t="shared" ref="I20:L23" si="8">ROUND(C20,-5)</f>
        <v>300000</v>
      </c>
      <c r="J20" s="92">
        <f t="shared" si="8"/>
        <v>300000</v>
      </c>
      <c r="K20" s="92">
        <f t="shared" si="8"/>
        <v>300000</v>
      </c>
      <c r="L20" s="92">
        <f t="shared" si="8"/>
        <v>300000</v>
      </c>
      <c r="N20" t="s">
        <v>94</v>
      </c>
      <c r="O20" s="82">
        <f t="shared" si="2"/>
        <v>0.29433288658951134</v>
      </c>
      <c r="P20" s="82">
        <f t="shared" si="3"/>
        <v>0.29391746020714071</v>
      </c>
      <c r="Q20" s="82">
        <f t="shared" si="4"/>
        <v>0.28199308567926767</v>
      </c>
      <c r="R20" s="82">
        <f t="shared" si="5"/>
        <v>0.27022499446402393</v>
      </c>
      <c r="T20" s="85">
        <f>MIN($O$20:$R$23)</f>
        <v>5.477535019430807E-2</v>
      </c>
      <c r="U20" t="s">
        <v>255</v>
      </c>
    </row>
    <row r="21" spans="2:21" x14ac:dyDescent="0.2">
      <c r="B21" t="str">
        <f>'Match rev and exp Fig 6'!B44</f>
        <v>WAM-Lo</v>
      </c>
      <c r="C21" s="9">
        <f>'Match rev and exp Fig 6'!C44</f>
        <v>1230200.2638903316</v>
      </c>
      <c r="D21" s="9">
        <f>'Match rev and exp Fig 6'!G44</f>
        <v>1361044.929317795</v>
      </c>
      <c r="E21" s="9">
        <f>'Match rev and exp Fig 6'!L44</f>
        <v>1305826.6735700422</v>
      </c>
      <c r="F21" s="9">
        <f>'Match rev and exp Fig 6'!Q44</f>
        <v>1251332.1196739625</v>
      </c>
      <c r="H21" s="90" t="s">
        <v>97</v>
      </c>
      <c r="I21" s="92">
        <f t="shared" si="8"/>
        <v>1200000</v>
      </c>
      <c r="J21" s="92">
        <f t="shared" si="8"/>
        <v>1400000</v>
      </c>
      <c r="K21" s="92">
        <f t="shared" si="8"/>
        <v>1300000</v>
      </c>
      <c r="L21" s="92">
        <f t="shared" si="8"/>
        <v>1300000</v>
      </c>
      <c r="N21" t="s">
        <v>97</v>
      </c>
      <c r="O21" s="82">
        <f t="shared" si="2"/>
        <v>1.2302002638903315</v>
      </c>
      <c r="P21" s="82">
        <f t="shared" si="3"/>
        <v>1.3610449293177951</v>
      </c>
      <c r="Q21" s="82">
        <f t="shared" si="4"/>
        <v>1.3058266735700423</v>
      </c>
      <c r="R21" s="82">
        <f t="shared" si="5"/>
        <v>1.2513321196739624</v>
      </c>
      <c r="T21" s="85">
        <f>MAX($O$20:$R$23)</f>
        <v>1.3610449293177951</v>
      </c>
      <c r="U21" t="s">
        <v>256</v>
      </c>
    </row>
    <row r="22" spans="2:21" x14ac:dyDescent="0.2">
      <c r="B22" t="str">
        <f>'Match rev and exp Fig 6'!B45</f>
        <v>WEM-Med</v>
      </c>
      <c r="C22" s="9">
        <f>'Match rev and exp Fig 6'!C45</f>
        <v>54775.35019430807</v>
      </c>
      <c r="D22" s="9">
        <f>'Match rev and exp Fig 6'!G45</f>
        <v>109057.37380638285</v>
      </c>
      <c r="E22" s="9">
        <f>'Match rev and exp Fig 6'!L45</f>
        <v>331132.3150256112</v>
      </c>
      <c r="F22" s="9">
        <f>'Match rev and exp Fig 6'!Q45</f>
        <v>888494.82374339923</v>
      </c>
      <c r="H22" s="90" t="s">
        <v>101</v>
      </c>
      <c r="I22" s="92">
        <f t="shared" si="8"/>
        <v>100000</v>
      </c>
      <c r="J22" s="92">
        <f t="shared" si="8"/>
        <v>100000</v>
      </c>
      <c r="K22" s="92">
        <f t="shared" si="8"/>
        <v>300000</v>
      </c>
      <c r="L22" s="92">
        <f t="shared" si="8"/>
        <v>900000</v>
      </c>
      <c r="N22" t="s">
        <v>101</v>
      </c>
      <c r="O22" s="82">
        <f t="shared" si="2"/>
        <v>5.477535019430807E-2</v>
      </c>
      <c r="P22" s="82">
        <f t="shared" si="3"/>
        <v>0.10905737380638285</v>
      </c>
      <c r="Q22" s="82">
        <f t="shared" si="4"/>
        <v>0.33113231502561119</v>
      </c>
      <c r="R22" s="82">
        <f t="shared" si="5"/>
        <v>0.88849482374339928</v>
      </c>
      <c r="T22" s="85">
        <f>AVERAGE($O$20:$R$23)</f>
        <v>0.61597049804655035</v>
      </c>
      <c r="U22" t="s">
        <v>173</v>
      </c>
    </row>
    <row r="23" spans="2:21" x14ac:dyDescent="0.2">
      <c r="B23" t="str">
        <f>'Match rev and exp Fig 6'!B46</f>
        <v>WAM-Med</v>
      </c>
      <c r="C23" s="9">
        <f>'Match rev and exp Fig 6'!C46</f>
        <v>521670.00185055309</v>
      </c>
      <c r="D23" s="9">
        <f>'Match rev and exp Fig 6'!G46</f>
        <v>577155.06298996834</v>
      </c>
      <c r="E23" s="9">
        <f>'Match rev and exp Fig 6'!L46</f>
        <v>553739.6009520879</v>
      </c>
      <c r="F23" s="9">
        <f>'Match rev and exp Fig 6'!Q46</f>
        <v>530631.02679042018</v>
      </c>
      <c r="H23" s="90" t="s">
        <v>100</v>
      </c>
      <c r="I23" s="92">
        <f t="shared" si="8"/>
        <v>500000</v>
      </c>
      <c r="J23" s="92">
        <f t="shared" si="8"/>
        <v>600000</v>
      </c>
      <c r="K23" s="92">
        <f t="shared" si="8"/>
        <v>600000</v>
      </c>
      <c r="L23" s="92">
        <f t="shared" si="8"/>
        <v>500000</v>
      </c>
      <c r="N23" t="s">
        <v>100</v>
      </c>
      <c r="O23" s="82">
        <f t="shared" si="2"/>
        <v>0.52167000185055312</v>
      </c>
      <c r="P23" s="82">
        <f t="shared" si="3"/>
        <v>0.57715506298996833</v>
      </c>
      <c r="Q23" s="82">
        <f t="shared" si="4"/>
        <v>0.55373960095208785</v>
      </c>
      <c r="R23" s="82">
        <f t="shared" si="5"/>
        <v>0.53063102679042018</v>
      </c>
    </row>
    <row r="25" spans="2:21" x14ac:dyDescent="0.2">
      <c r="H25" t="s">
        <v>252</v>
      </c>
      <c r="I25" s="7">
        <f>MIN(I$5:I$23)</f>
        <v>100000</v>
      </c>
      <c r="J25" s="7">
        <f t="shared" ref="J25:L25" si="9">MIN(J$5:J$23)</f>
        <v>100000</v>
      </c>
      <c r="K25" s="7">
        <f t="shared" si="9"/>
        <v>300000</v>
      </c>
      <c r="L25" s="7">
        <f t="shared" si="9"/>
        <v>300000</v>
      </c>
    </row>
    <row r="26" spans="2:21" x14ac:dyDescent="0.2">
      <c r="H26" t="s">
        <v>204</v>
      </c>
      <c r="I26" s="7">
        <f>MAX(I$5:I$23)</f>
        <v>7500000</v>
      </c>
      <c r="J26" s="7">
        <f t="shared" ref="J26:L26" si="10">MAX(J$5:J$23)</f>
        <v>8900000</v>
      </c>
      <c r="K26" s="7">
        <f t="shared" si="10"/>
        <v>9900000</v>
      </c>
      <c r="L26" s="7">
        <f t="shared" si="10"/>
        <v>11600000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topLeftCell="A5" zoomScale="120" zoomScaleNormal="120" zoomScalePageLayoutView="120" workbookViewId="0">
      <selection activeCell="C21" sqref="C21:R25"/>
    </sheetView>
  </sheetViews>
  <sheetFormatPr baseColWidth="10" defaultRowHeight="16" x14ac:dyDescent="0.2"/>
  <sheetData>
    <row r="1" spans="2:13" ht="21" x14ac:dyDescent="0.25">
      <c r="B1" s="89" t="s">
        <v>269</v>
      </c>
    </row>
    <row r="3" spans="2:13" x14ac:dyDescent="0.2">
      <c r="D3" t="s">
        <v>94</v>
      </c>
      <c r="E3" t="s">
        <v>97</v>
      </c>
      <c r="F3" t="s">
        <v>101</v>
      </c>
      <c r="G3" t="s">
        <v>100</v>
      </c>
    </row>
    <row r="4" spans="2:13" x14ac:dyDescent="0.2">
      <c r="C4">
        <v>2016</v>
      </c>
      <c r="D4" s="10">
        <f t="array" ref="D4:G18">TRANSPOSE(D22:R25)</f>
        <v>0.72201470006909052</v>
      </c>
      <c r="E4" s="10">
        <v>0.1640440315520143</v>
      </c>
      <c r="F4" s="10">
        <v>0.45125918754318162</v>
      </c>
      <c r="G4" s="10">
        <v>0.41011007888003587</v>
      </c>
      <c r="J4" s="10"/>
      <c r="K4" s="10"/>
      <c r="L4" s="10"/>
      <c r="M4" s="10"/>
    </row>
    <row r="5" spans="2:13" x14ac:dyDescent="0.2">
      <c r="C5">
        <v>2017</v>
      </c>
      <c r="D5" s="10">
        <v>0.79569992087102859</v>
      </c>
      <c r="E5" s="10">
        <v>0.17759320273245924</v>
      </c>
      <c r="F5" s="10">
        <v>0.49731245054439288</v>
      </c>
      <c r="G5" s="10">
        <v>0.44398300683114811</v>
      </c>
      <c r="J5" s="10"/>
      <c r="K5" s="10"/>
      <c r="L5" s="10"/>
      <c r="M5" s="10"/>
    </row>
    <row r="6" spans="2:13" x14ac:dyDescent="0.2">
      <c r="C6">
        <v>2018</v>
      </c>
      <c r="D6" s="10">
        <v>0.93776034533412411</v>
      </c>
      <c r="E6" s="10">
        <v>0.2057175086596329</v>
      </c>
      <c r="F6" s="10">
        <v>0.58610021583382754</v>
      </c>
      <c r="G6" s="10">
        <v>0.51429377164908241</v>
      </c>
      <c r="J6" s="10"/>
      <c r="K6" s="10"/>
      <c r="L6" s="10"/>
      <c r="M6" s="10"/>
    </row>
    <row r="7" spans="2:13" x14ac:dyDescent="0.2">
      <c r="C7">
        <v>2019</v>
      </c>
      <c r="D7" s="10">
        <v>1.0740540027701366</v>
      </c>
      <c r="E7" s="10">
        <v>0.23170509067736186</v>
      </c>
      <c r="F7" s="10">
        <v>0.67128375173133537</v>
      </c>
      <c r="G7" s="10">
        <v>0.57926272669340473</v>
      </c>
      <c r="J7" s="10"/>
      <c r="K7" s="10"/>
      <c r="L7" s="10"/>
      <c r="M7" s="10"/>
    </row>
    <row r="8" spans="2:13" x14ac:dyDescent="0.2">
      <c r="C8">
        <v>2020</v>
      </c>
      <c r="D8" s="10">
        <v>1.2530839536194853</v>
      </c>
      <c r="E8" s="10">
        <v>0.26597217092188102</v>
      </c>
      <c r="F8" s="10">
        <v>0.78317747101217816</v>
      </c>
      <c r="G8" s="10">
        <v>0.66493042730470253</v>
      </c>
      <c r="J8" s="10"/>
      <c r="K8" s="10"/>
      <c r="L8" s="10"/>
      <c r="M8" s="10"/>
    </row>
    <row r="9" spans="2:13" x14ac:dyDescent="0.2">
      <c r="C9">
        <v>2021</v>
      </c>
      <c r="D9" s="10">
        <v>1.4299229568638685</v>
      </c>
      <c r="E9" s="10">
        <v>0.29497862223034294</v>
      </c>
      <c r="F9" s="10">
        <v>0.8937018480399177</v>
      </c>
      <c r="G9" s="10">
        <v>0.73744655557585737</v>
      </c>
      <c r="J9" s="10"/>
      <c r="K9" s="10"/>
      <c r="L9" s="10"/>
      <c r="M9" s="10"/>
    </row>
    <row r="10" spans="2:13" x14ac:dyDescent="0.2">
      <c r="C10">
        <v>2022</v>
      </c>
      <c r="D10" s="10">
        <v>1.628725150513417</v>
      </c>
      <c r="E10" s="10">
        <v>0.3266591777922328</v>
      </c>
      <c r="F10" s="10">
        <v>1.0179532190708855</v>
      </c>
      <c r="G10" s="10">
        <v>0.81664794448058198</v>
      </c>
      <c r="J10" s="10"/>
      <c r="K10" s="10"/>
      <c r="L10" s="10"/>
      <c r="M10" s="10"/>
    </row>
    <row r="11" spans="2:13" x14ac:dyDescent="0.2">
      <c r="C11">
        <v>2023</v>
      </c>
      <c r="D11" s="10">
        <v>1.8510356844266276</v>
      </c>
      <c r="E11" s="10">
        <v>0.36105296332274467</v>
      </c>
      <c r="F11" s="10">
        <v>1.156897302766642</v>
      </c>
      <c r="G11" s="10">
        <v>0.90263240830686176</v>
      </c>
      <c r="J11" s="10"/>
      <c r="K11" s="10"/>
      <c r="L11" s="10"/>
      <c r="M11" s="10"/>
    </row>
    <row r="12" spans="2:13" x14ac:dyDescent="0.2">
      <c r="C12">
        <v>2024</v>
      </c>
      <c r="D12" s="10">
        <v>2.0980725967756353</v>
      </c>
      <c r="E12" s="10">
        <v>0.39812422362808453</v>
      </c>
      <c r="F12" s="10">
        <v>1.3112953729847716</v>
      </c>
      <c r="G12" s="10">
        <v>0.99531055907021126</v>
      </c>
      <c r="J12" s="10"/>
      <c r="K12" s="10"/>
      <c r="L12" s="10"/>
      <c r="M12" s="10"/>
    </row>
    <row r="13" spans="2:13" x14ac:dyDescent="0.2">
      <c r="C13">
        <v>2025</v>
      </c>
      <c r="D13" s="10">
        <v>2.3705584146398944</v>
      </c>
      <c r="E13" s="10">
        <v>0.43774076179842669</v>
      </c>
      <c r="F13" s="10">
        <v>1.4815990091499338</v>
      </c>
      <c r="G13" s="10">
        <v>1.0943519044960668</v>
      </c>
      <c r="J13" s="10"/>
      <c r="K13" s="10"/>
      <c r="L13" s="10"/>
      <c r="M13" s="10"/>
    </row>
    <row r="14" spans="2:13" x14ac:dyDescent="0.2">
      <c r="C14">
        <v>2026</v>
      </c>
      <c r="D14" s="10">
        <v>2.7101376967645754</v>
      </c>
      <c r="E14" s="10">
        <v>0.47970613188745825</v>
      </c>
      <c r="F14" s="10">
        <v>1.6938360604778595</v>
      </c>
      <c r="G14" s="10">
        <v>1.1992653297186457</v>
      </c>
      <c r="J14" s="10"/>
      <c r="K14" s="10"/>
      <c r="L14" s="10"/>
      <c r="M14" s="10"/>
    </row>
    <row r="15" spans="2:13" x14ac:dyDescent="0.2">
      <c r="C15">
        <v>2027</v>
      </c>
      <c r="D15" s="10">
        <v>3.0827436964657875</v>
      </c>
      <c r="E15" s="10">
        <v>0.52359103857141598</v>
      </c>
      <c r="F15" s="10">
        <v>1.9267148102911167</v>
      </c>
      <c r="G15" s="10">
        <v>1.3089775964285397</v>
      </c>
      <c r="J15" s="10"/>
      <c r="K15" s="10"/>
      <c r="L15" s="10"/>
      <c r="M15" s="10"/>
    </row>
    <row r="16" spans="2:13" x14ac:dyDescent="0.2">
      <c r="C16">
        <v>2028</v>
      </c>
      <c r="D16" s="10">
        <v>3.4870544295707986</v>
      </c>
      <c r="E16" s="10">
        <v>0.56886127640760897</v>
      </c>
      <c r="F16" s="10">
        <v>2.1794090184817478</v>
      </c>
      <c r="G16" s="10">
        <v>1.4221531910190224</v>
      </c>
      <c r="J16" s="10"/>
      <c r="K16" s="10"/>
      <c r="L16" s="10"/>
      <c r="M16" s="10"/>
    </row>
    <row r="17" spans="3:18" x14ac:dyDescent="0.2">
      <c r="C17">
        <v>2029</v>
      </c>
      <c r="D17" s="10">
        <v>3.9203310115108501</v>
      </c>
      <c r="E17" s="10">
        <v>0.61483241331534055</v>
      </c>
      <c r="F17" s="10">
        <v>2.4502068821942795</v>
      </c>
      <c r="G17" s="10">
        <v>1.5370810332883507</v>
      </c>
      <c r="J17" s="10"/>
      <c r="K17" s="10"/>
      <c r="L17" s="10"/>
      <c r="M17" s="10"/>
    </row>
    <row r="18" spans="3:18" x14ac:dyDescent="0.2">
      <c r="C18">
        <v>2030</v>
      </c>
      <c r="D18" s="10">
        <v>4.3782950516499612</v>
      </c>
      <c r="E18" s="10">
        <v>0.66068271777539778</v>
      </c>
      <c r="F18" s="10">
        <v>2.7364344072812243</v>
      </c>
      <c r="G18" s="10">
        <v>1.6517067944384942</v>
      </c>
      <c r="J18" s="10"/>
      <c r="K18" s="10"/>
      <c r="L18" s="10"/>
      <c r="M18" s="10"/>
    </row>
    <row r="20" spans="3:18" x14ac:dyDescent="0.2">
      <c r="D20" t="s">
        <v>272</v>
      </c>
    </row>
    <row r="21" spans="3:18" x14ac:dyDescent="0.2">
      <c r="D21">
        <f>'Match rev and exp Fig 6'!C51</f>
        <v>2016</v>
      </c>
      <c r="E21">
        <f>'Match rev and exp Fig 6'!D51</f>
        <v>2017</v>
      </c>
      <c r="F21">
        <f>'Match rev and exp Fig 6'!E51</f>
        <v>2018</v>
      </c>
      <c r="G21">
        <f>'Match rev and exp Fig 6'!F51</f>
        <v>2019</v>
      </c>
      <c r="H21">
        <f>'Match rev and exp Fig 6'!G51</f>
        <v>2020</v>
      </c>
      <c r="I21">
        <f>'Match rev and exp Fig 6'!H51</f>
        <v>2021</v>
      </c>
      <c r="J21">
        <f>'Match rev and exp Fig 6'!I51</f>
        <v>2022</v>
      </c>
      <c r="K21">
        <f>'Match rev and exp Fig 6'!J51</f>
        <v>2023</v>
      </c>
      <c r="L21">
        <f>'Match rev and exp Fig 6'!K51</f>
        <v>2024</v>
      </c>
      <c r="M21">
        <f>'Match rev and exp Fig 6'!L51</f>
        <v>2025</v>
      </c>
      <c r="N21">
        <f>'Match rev and exp Fig 6'!M51</f>
        <v>2026</v>
      </c>
      <c r="O21">
        <f>'Match rev and exp Fig 6'!N51</f>
        <v>2027</v>
      </c>
      <c r="P21">
        <f>'Match rev and exp Fig 6'!O51</f>
        <v>2028</v>
      </c>
      <c r="Q21">
        <f>'Match rev and exp Fig 6'!P51</f>
        <v>2029</v>
      </c>
      <c r="R21">
        <f>'Match rev and exp Fig 6'!Q51</f>
        <v>2030</v>
      </c>
    </row>
    <row r="22" spans="3:18" x14ac:dyDescent="0.2">
      <c r="C22" t="str">
        <f>'Match rev and exp Fig 6'!B52</f>
        <v>WEM-Hi</v>
      </c>
      <c r="D22" s="10">
        <f>'Match rev and exp Fig 6'!C52</f>
        <v>0.72201470006909052</v>
      </c>
      <c r="E22" s="10">
        <f>'Match rev and exp Fig 6'!D52</f>
        <v>0.79569992087102859</v>
      </c>
      <c r="F22" s="10">
        <f>'Match rev and exp Fig 6'!E52</f>
        <v>0.93776034533412411</v>
      </c>
      <c r="G22" s="10">
        <f>'Match rev and exp Fig 6'!F52</f>
        <v>1.0740540027701366</v>
      </c>
      <c r="H22" s="10">
        <f>'Match rev and exp Fig 6'!G52</f>
        <v>1.2530839536194853</v>
      </c>
      <c r="I22" s="10">
        <f>'Match rev and exp Fig 6'!H52</f>
        <v>1.4299229568638685</v>
      </c>
      <c r="J22" s="10">
        <f>'Match rev and exp Fig 6'!I52</f>
        <v>1.628725150513417</v>
      </c>
      <c r="K22" s="10">
        <f>'Match rev and exp Fig 6'!J52</f>
        <v>1.8510356844266276</v>
      </c>
      <c r="L22" s="10">
        <f>'Match rev and exp Fig 6'!K52</f>
        <v>2.0980725967756353</v>
      </c>
      <c r="M22" s="10">
        <f>'Match rev and exp Fig 6'!L52</f>
        <v>2.3705584146398944</v>
      </c>
      <c r="N22" s="10">
        <f>'Match rev and exp Fig 6'!M52</f>
        <v>2.7101376967645754</v>
      </c>
      <c r="O22" s="10">
        <f>'Match rev and exp Fig 6'!N52</f>
        <v>3.0827436964657875</v>
      </c>
      <c r="P22" s="10">
        <f>'Match rev and exp Fig 6'!O52</f>
        <v>3.4870544295707986</v>
      </c>
      <c r="Q22" s="10">
        <f>'Match rev and exp Fig 6'!P52</f>
        <v>3.9203310115108501</v>
      </c>
      <c r="R22" s="10">
        <f>'Match rev and exp Fig 6'!Q52</f>
        <v>4.3782950516499612</v>
      </c>
    </row>
    <row r="23" spans="3:18" x14ac:dyDescent="0.2">
      <c r="C23" t="str">
        <f>'Match rev and exp Fig 6'!B53</f>
        <v>WAM-Lo</v>
      </c>
      <c r="D23" s="10">
        <f>'Match rev and exp Fig 6'!C53</f>
        <v>0.1640440315520143</v>
      </c>
      <c r="E23" s="10">
        <f>'Match rev and exp Fig 6'!D53</f>
        <v>0.17759320273245924</v>
      </c>
      <c r="F23" s="10">
        <f>'Match rev and exp Fig 6'!E53</f>
        <v>0.2057175086596329</v>
      </c>
      <c r="G23" s="10">
        <f>'Match rev and exp Fig 6'!F53</f>
        <v>0.23170509067736186</v>
      </c>
      <c r="H23" s="10">
        <f>'Match rev and exp Fig 6'!G53</f>
        <v>0.26597217092188102</v>
      </c>
      <c r="I23" s="10">
        <f>'Match rev and exp Fig 6'!H53</f>
        <v>0.29497862223034294</v>
      </c>
      <c r="J23" s="10">
        <f>'Match rev and exp Fig 6'!I53</f>
        <v>0.3266591777922328</v>
      </c>
      <c r="K23" s="10">
        <f>'Match rev and exp Fig 6'!J53</f>
        <v>0.36105296332274467</v>
      </c>
      <c r="L23" s="10">
        <f>'Match rev and exp Fig 6'!K53</f>
        <v>0.39812422362808453</v>
      </c>
      <c r="M23" s="10">
        <f>'Match rev and exp Fig 6'!L53</f>
        <v>0.43774076179842669</v>
      </c>
      <c r="N23" s="10">
        <f>'Match rev and exp Fig 6'!M53</f>
        <v>0.47970613188745825</v>
      </c>
      <c r="O23" s="10">
        <f>'Match rev and exp Fig 6'!N53</f>
        <v>0.52359103857141598</v>
      </c>
      <c r="P23" s="10">
        <f>'Match rev and exp Fig 6'!O53</f>
        <v>0.56886127640760897</v>
      </c>
      <c r="Q23" s="10">
        <f>'Match rev and exp Fig 6'!P53</f>
        <v>0.61483241331534055</v>
      </c>
      <c r="R23" s="10">
        <f>'Match rev and exp Fig 6'!Q53</f>
        <v>0.66068271777539778</v>
      </c>
    </row>
    <row r="24" spans="3:18" x14ac:dyDescent="0.2">
      <c r="C24" t="str">
        <f>'Match rev and exp Fig 6'!B54</f>
        <v>WEM-Med</v>
      </c>
      <c r="D24" s="10">
        <f>'Match rev and exp Fig 6'!C54</f>
        <v>0.45125918754318162</v>
      </c>
      <c r="E24" s="10">
        <f>'Match rev and exp Fig 6'!D54</f>
        <v>0.49731245054439288</v>
      </c>
      <c r="F24" s="10">
        <f>'Match rev and exp Fig 6'!E54</f>
        <v>0.58610021583382754</v>
      </c>
      <c r="G24" s="10">
        <f>'Match rev and exp Fig 6'!F54</f>
        <v>0.67128375173133537</v>
      </c>
      <c r="H24" s="10">
        <f>'Match rev and exp Fig 6'!G54</f>
        <v>0.78317747101217816</v>
      </c>
      <c r="I24" s="10">
        <f>'Match rev and exp Fig 6'!H54</f>
        <v>0.8937018480399177</v>
      </c>
      <c r="J24" s="10">
        <f>'Match rev and exp Fig 6'!I54</f>
        <v>1.0179532190708855</v>
      </c>
      <c r="K24" s="10">
        <f>'Match rev and exp Fig 6'!J54</f>
        <v>1.156897302766642</v>
      </c>
      <c r="L24" s="10">
        <f>'Match rev and exp Fig 6'!K54</f>
        <v>1.3112953729847716</v>
      </c>
      <c r="M24" s="10">
        <f>'Match rev and exp Fig 6'!L54</f>
        <v>1.4815990091499338</v>
      </c>
      <c r="N24" s="10">
        <f>'Match rev and exp Fig 6'!M54</f>
        <v>1.6938360604778595</v>
      </c>
      <c r="O24" s="10">
        <f>'Match rev and exp Fig 6'!N54</f>
        <v>1.9267148102911167</v>
      </c>
      <c r="P24" s="10">
        <f>'Match rev and exp Fig 6'!O54</f>
        <v>2.1794090184817478</v>
      </c>
      <c r="Q24" s="10">
        <f>'Match rev and exp Fig 6'!P54</f>
        <v>2.4502068821942795</v>
      </c>
      <c r="R24" s="10">
        <f>'Match rev and exp Fig 6'!Q54</f>
        <v>2.7364344072812243</v>
      </c>
    </row>
    <row r="25" spans="3:18" x14ac:dyDescent="0.2">
      <c r="C25" t="str">
        <f>'Match rev and exp Fig 6'!B55</f>
        <v>WAM-Med</v>
      </c>
      <c r="D25" s="10">
        <f>'Match rev and exp Fig 6'!C55</f>
        <v>0.41011007888003587</v>
      </c>
      <c r="E25" s="10">
        <f>'Match rev and exp Fig 6'!D55</f>
        <v>0.44398300683114811</v>
      </c>
      <c r="F25" s="10">
        <f>'Match rev and exp Fig 6'!E55</f>
        <v>0.51429377164908241</v>
      </c>
      <c r="G25" s="10">
        <f>'Match rev and exp Fig 6'!F55</f>
        <v>0.57926272669340473</v>
      </c>
      <c r="H25" s="10">
        <f>'Match rev and exp Fig 6'!G55</f>
        <v>0.66493042730470253</v>
      </c>
      <c r="I25" s="10">
        <f>'Match rev and exp Fig 6'!H55</f>
        <v>0.73744655557585737</v>
      </c>
      <c r="J25" s="10">
        <f>'Match rev and exp Fig 6'!I55</f>
        <v>0.81664794448058198</v>
      </c>
      <c r="K25" s="10">
        <f>'Match rev and exp Fig 6'!J55</f>
        <v>0.90263240830686176</v>
      </c>
      <c r="L25" s="10">
        <f>'Match rev and exp Fig 6'!K55</f>
        <v>0.99531055907021126</v>
      </c>
      <c r="M25" s="10">
        <f>'Match rev and exp Fig 6'!L55</f>
        <v>1.0943519044960668</v>
      </c>
      <c r="N25" s="10">
        <f>'Match rev and exp Fig 6'!M55</f>
        <v>1.1992653297186457</v>
      </c>
      <c r="O25" s="10">
        <f>'Match rev and exp Fig 6'!N55</f>
        <v>1.3089775964285397</v>
      </c>
      <c r="P25" s="10">
        <f>'Match rev and exp Fig 6'!O55</f>
        <v>1.4221531910190224</v>
      </c>
      <c r="Q25" s="10">
        <f>'Match rev and exp Fig 6'!P55</f>
        <v>1.5370810332883507</v>
      </c>
      <c r="R25" s="10">
        <f>'Match rev and exp Fig 6'!Q55</f>
        <v>1.6517067944384942</v>
      </c>
    </row>
  </sheetData>
  <conditionalFormatting sqref="D4:G18">
    <cfRule type="cellIs" dxfId="1" priority="4" operator="greaterThan">
      <formula>2</formula>
    </cfRule>
    <cfRule type="cellIs" dxfId="0" priority="5" operator="lessThan">
      <formula>1</formula>
    </cfRule>
  </conditionalFormatting>
  <conditionalFormatting sqref="C3:G18">
    <cfRule type="colorScale" priority="6">
      <colorScale>
        <cfvo type="formula" val="&quot;&gt;1&quot;"/>
        <cfvo type="percentile" val="50"/>
        <cfvo type="max"/>
        <color rgb="FFFF7128"/>
        <color rgb="FFFFEB84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Tax revenue emiss Fig 2 and 4</vt:lpstr>
      <vt:lpstr>MPA Fig3</vt:lpstr>
      <vt:lpstr>Electrification</vt:lpstr>
      <vt:lpstr>LPG</vt:lpstr>
      <vt:lpstr>Sust housing Fig 5</vt:lpstr>
      <vt:lpstr>Rooftop solar</vt:lpstr>
      <vt:lpstr>Match rev and exp Fig 6</vt:lpstr>
      <vt:lpstr>Table 2 Pov pgm co benefits</vt:lpstr>
      <vt:lpstr>Table 3 quantified benefits</vt:lpstr>
      <vt:lpstr>Table 4 unit pgms</vt:lpstr>
    </vt:vector>
  </TitlesOfParts>
  <Company>UCT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Winkler</dc:creator>
  <cp:lastModifiedBy>Harald Winkler</cp:lastModifiedBy>
  <dcterms:created xsi:type="dcterms:W3CDTF">2014-06-27T10:20:47Z</dcterms:created>
  <dcterms:modified xsi:type="dcterms:W3CDTF">2017-04-06T13:51:54Z</dcterms:modified>
</cp:coreProperties>
</file>